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040" windowHeight="9540" tabRatio="718" firstSheet="1" activeTab="27"/>
  </bookViews>
  <sheets>
    <sheet name="1,13" sheetId="8" r:id="rId1"/>
    <sheet name="1,14" sheetId="7" r:id="rId2"/>
    <sheet name="1,17" sheetId="6" r:id="rId3"/>
    <sheet name="2,01" sheetId="13" r:id="rId4"/>
    <sheet name="2,02" sheetId="15" r:id="rId5"/>
    <sheet name="2,03" sheetId="17" r:id="rId6"/>
    <sheet name="2,04" sheetId="18" r:id="rId7"/>
    <sheet name="2,05" sheetId="19" r:id="rId8"/>
    <sheet name="2,06" sheetId="20" r:id="rId9"/>
    <sheet name="2,07" sheetId="21" r:id="rId10"/>
    <sheet name="2,08" sheetId="14" r:id="rId11"/>
    <sheet name="2,09" sheetId="16" r:id="rId12"/>
    <sheet name="2,10" sheetId="22" r:id="rId13"/>
    <sheet name="2,11" sheetId="23" r:id="rId14"/>
    <sheet name="2,17" sheetId="24" r:id="rId15"/>
    <sheet name="2,20" sheetId="25" r:id="rId16"/>
    <sheet name="2,21" sheetId="26" r:id="rId17"/>
    <sheet name="3,01" sheetId="9" r:id="rId18"/>
    <sheet name="3,03" sheetId="27" r:id="rId19"/>
    <sheet name="3,05" sheetId="28" r:id="rId20"/>
    <sheet name="3,06" sheetId="29" r:id="rId21"/>
    <sheet name="3,09" sheetId="30" r:id="rId22"/>
    <sheet name="3,11" sheetId="31" r:id="rId23"/>
    <sheet name="3,12" sheetId="5" r:id="rId24"/>
    <sheet name="3,14" sheetId="11" r:id="rId25"/>
    <sheet name="3,15" sheetId="10" r:id="rId26"/>
    <sheet name="3,19" sheetId="12" r:id="rId27"/>
    <sheet name="ООО &quot;Энтузиаст&quot;" sheetId="32" r:id="rId28"/>
  </sheets>
  <definedNames>
    <definedName name="_xlnm.Print_Area" localSheetId="0">'1,13'!$A$1:$H$176</definedName>
    <definedName name="_xlnm.Print_Area" localSheetId="1">'1,14'!$A$1:$H$175</definedName>
    <definedName name="_xlnm.Print_Area" localSheetId="2">'1,17'!$A$1:$H$175</definedName>
    <definedName name="_xlnm.Print_Area" localSheetId="3">'2,01'!$A$1:$H$174</definedName>
    <definedName name="_xlnm.Print_Area" localSheetId="4">'2,02'!$A$1:$H$173</definedName>
    <definedName name="_xlnm.Print_Area" localSheetId="5">'2,03'!$A$1:$H$175</definedName>
    <definedName name="_xlnm.Print_Area" localSheetId="6">'2,04'!$A$1:$H$174</definedName>
    <definedName name="_xlnm.Print_Area" localSheetId="7">'2,05'!$A$1:$H$173</definedName>
    <definedName name="_xlnm.Print_Area" localSheetId="8">'2,06'!$A$1:$H$174</definedName>
    <definedName name="_xlnm.Print_Area" localSheetId="9">'2,07'!$A$1:$H$179</definedName>
    <definedName name="_xlnm.Print_Area" localSheetId="10">'2,08'!$A$1:$H$176</definedName>
    <definedName name="_xlnm.Print_Area" localSheetId="11">'2,09'!$A$1:$H$175</definedName>
    <definedName name="_xlnm.Print_Area" localSheetId="12">'2,10'!$A$1:$H$177</definedName>
    <definedName name="_xlnm.Print_Area" localSheetId="13">'2,11'!$A$1:$H$178</definedName>
    <definedName name="_xlnm.Print_Area" localSheetId="14">'2,17'!$A$1:$H$174</definedName>
    <definedName name="_xlnm.Print_Area" localSheetId="15">'2,20'!$A$1:$H$174</definedName>
    <definedName name="_xlnm.Print_Area" localSheetId="16">'2,21'!$A$1:$H$174</definedName>
    <definedName name="_xlnm.Print_Area" localSheetId="17">'3,01'!$A$1:$H$181</definedName>
    <definedName name="_xlnm.Print_Area" localSheetId="18">'3,03'!$A$1:$H$177</definedName>
    <definedName name="_xlnm.Print_Area" localSheetId="19">'3,05'!$A$1:$H$175</definedName>
    <definedName name="_xlnm.Print_Area" localSheetId="20">'3,06'!$A$1:$H$179</definedName>
    <definedName name="_xlnm.Print_Area" localSheetId="21">'3,09'!$A$1:$H$176</definedName>
    <definedName name="_xlnm.Print_Area" localSheetId="22">'3,11'!$A$1:$H$175</definedName>
    <definedName name="_xlnm.Print_Area" localSheetId="23">'3,12'!$A$1:$H$176</definedName>
    <definedName name="_xlnm.Print_Area" localSheetId="24">'3,14'!$A$1:$H$173</definedName>
    <definedName name="_xlnm.Print_Area" localSheetId="25">'3,15'!$A$1:$H$175</definedName>
    <definedName name="_xlnm.Print_Area" localSheetId="26">'3,19'!$A$1:$H$178</definedName>
    <definedName name="_xlnm.Print_Area" localSheetId="27">'ООО "Энтузиаст"'!$A$1:$H$201</definedName>
  </definedNames>
  <calcPr calcId="144525"/>
</workbook>
</file>

<file path=xl/calcChain.xml><?xml version="1.0" encoding="utf-8"?>
<calcChain xmlns="http://schemas.openxmlformats.org/spreadsheetml/2006/main">
  <c r="E25" i="12" l="1"/>
  <c r="E25" i="11"/>
  <c r="E25" i="31"/>
  <c r="E25" i="30"/>
  <c r="E25" i="29"/>
  <c r="E25" i="28"/>
  <c r="E25" i="27"/>
  <c r="E25" i="26"/>
  <c r="E25" i="25"/>
  <c r="E25" i="24"/>
  <c r="E25" i="23"/>
  <c r="E25" i="22"/>
  <c r="E25" i="16"/>
  <c r="E25" i="14"/>
  <c r="E25" i="21"/>
  <c r="E25" i="20"/>
  <c r="E25" i="19"/>
  <c r="E25" i="18"/>
  <c r="E25" i="17"/>
  <c r="E25" i="15"/>
  <c r="E25" i="13"/>
  <c r="H96" i="32" l="1"/>
  <c r="F96" i="32"/>
  <c r="H94" i="32"/>
  <c r="F94" i="32"/>
  <c r="H93" i="32"/>
  <c r="F93" i="32"/>
  <c r="H87" i="32"/>
  <c r="F87" i="32"/>
  <c r="H82" i="32"/>
  <c r="F82" i="32"/>
  <c r="H76" i="32"/>
  <c r="F76" i="32"/>
  <c r="H74" i="32"/>
  <c r="H73" i="32"/>
  <c r="H72" i="32"/>
  <c r="H67" i="32"/>
  <c r="H66" i="32"/>
  <c r="F66" i="32"/>
  <c r="H65" i="32"/>
  <c r="H64" i="32"/>
  <c r="H63" i="32"/>
  <c r="F63" i="32"/>
  <c r="H61" i="32"/>
  <c r="F61" i="32"/>
  <c r="H60" i="32"/>
  <c r="F60" i="32"/>
  <c r="H58" i="32"/>
  <c r="F58" i="32"/>
  <c r="D121" i="32"/>
  <c r="E121" i="32"/>
  <c r="E123" i="32"/>
  <c r="E124" i="32"/>
  <c r="H95" i="12" l="1"/>
  <c r="H78" i="12"/>
  <c r="F78" i="12"/>
  <c r="H77" i="12"/>
  <c r="F77" i="12"/>
  <c r="H69" i="12"/>
  <c r="H53" i="12"/>
  <c r="F53" i="12"/>
  <c r="H51" i="12"/>
  <c r="F51" i="12"/>
  <c r="H93" i="10"/>
  <c r="H78" i="10"/>
  <c r="F78" i="10"/>
  <c r="H77" i="10"/>
  <c r="F77" i="10"/>
  <c r="H53" i="10"/>
  <c r="F53" i="10"/>
  <c r="H51" i="10"/>
  <c r="F51" i="10"/>
  <c r="H91" i="11"/>
  <c r="H79" i="11"/>
  <c r="F79" i="11"/>
  <c r="H78" i="11"/>
  <c r="F78" i="11"/>
  <c r="H70" i="11"/>
  <c r="H64" i="11"/>
  <c r="H53" i="11"/>
  <c r="F53" i="11"/>
  <c r="H51" i="11"/>
  <c r="F51" i="11"/>
  <c r="H94" i="5"/>
  <c r="H79" i="5"/>
  <c r="F79" i="5"/>
  <c r="H78" i="5"/>
  <c r="F78" i="5"/>
  <c r="H70" i="5"/>
  <c r="H53" i="5"/>
  <c r="F53" i="5"/>
  <c r="H51" i="5"/>
  <c r="F51" i="5"/>
  <c r="H93" i="31"/>
  <c r="H79" i="31"/>
  <c r="F79" i="31"/>
  <c r="H78" i="31"/>
  <c r="F78" i="31"/>
  <c r="H70" i="31"/>
  <c r="H53" i="31"/>
  <c r="F53" i="31"/>
  <c r="H51" i="31"/>
  <c r="F51" i="31"/>
  <c r="H94" i="30"/>
  <c r="H80" i="30"/>
  <c r="F80" i="30"/>
  <c r="H79" i="30"/>
  <c r="F79" i="30"/>
  <c r="H71" i="30"/>
  <c r="H65" i="30"/>
  <c r="H53" i="30"/>
  <c r="F53" i="30"/>
  <c r="H51" i="30"/>
  <c r="F51" i="30"/>
  <c r="H97" i="29"/>
  <c r="H81" i="29"/>
  <c r="F81" i="29"/>
  <c r="H80" i="29"/>
  <c r="F80" i="29"/>
  <c r="H66" i="29"/>
  <c r="H53" i="29"/>
  <c r="F53" i="29"/>
  <c r="H51" i="29"/>
  <c r="F51" i="29"/>
  <c r="H93" i="28"/>
  <c r="H81" i="28"/>
  <c r="F81" i="28"/>
  <c r="H80" i="28"/>
  <c r="F80" i="28"/>
  <c r="H72" i="28"/>
  <c r="H53" i="28"/>
  <c r="F53" i="28"/>
  <c r="H51" i="28"/>
  <c r="F51" i="28"/>
  <c r="H95" i="27"/>
  <c r="H82" i="27"/>
  <c r="F82" i="27"/>
  <c r="H81" i="27"/>
  <c r="F81" i="27"/>
  <c r="H53" i="27"/>
  <c r="F53" i="27"/>
  <c r="H51" i="27"/>
  <c r="F51" i="27"/>
  <c r="H98" i="9"/>
  <c r="H83" i="9"/>
  <c r="F83" i="9"/>
  <c r="H82" i="9"/>
  <c r="F82" i="9"/>
  <c r="H72" i="9"/>
  <c r="H66" i="9"/>
  <c r="F66" i="9"/>
  <c r="H60" i="9"/>
  <c r="H54" i="9"/>
  <c r="F54" i="9"/>
  <c r="H53" i="9"/>
  <c r="F53" i="9"/>
  <c r="H51" i="9"/>
  <c r="F51" i="9"/>
  <c r="H91" i="26" l="1"/>
  <c r="H79" i="26"/>
  <c r="F79" i="26"/>
  <c r="H78" i="26"/>
  <c r="F78" i="26"/>
  <c r="H53" i="26"/>
  <c r="F53" i="26"/>
  <c r="H51" i="26"/>
  <c r="F51" i="26"/>
  <c r="H92" i="25"/>
  <c r="H79" i="25"/>
  <c r="F79" i="25"/>
  <c r="H78" i="25"/>
  <c r="F78" i="25"/>
  <c r="H53" i="25"/>
  <c r="F53" i="25"/>
  <c r="H51" i="25"/>
  <c r="F51" i="25"/>
  <c r="H92" i="24"/>
  <c r="H79" i="24"/>
  <c r="F79" i="24"/>
  <c r="H78" i="24"/>
  <c r="F78" i="24"/>
  <c r="H53" i="24"/>
  <c r="F53" i="24"/>
  <c r="H51" i="24"/>
  <c r="F51" i="24"/>
  <c r="H96" i="23"/>
  <c r="H82" i="23"/>
  <c r="F82" i="23"/>
  <c r="H81" i="23"/>
  <c r="F81" i="23"/>
  <c r="F73" i="23"/>
  <c r="H67" i="23"/>
  <c r="F67" i="23"/>
  <c r="H53" i="23"/>
  <c r="F53" i="23"/>
  <c r="H51" i="23"/>
  <c r="F51" i="23"/>
  <c r="H95" i="22"/>
  <c r="H80" i="22"/>
  <c r="F80" i="22"/>
  <c r="H79" i="22"/>
  <c r="F79" i="22"/>
  <c r="H71" i="22"/>
  <c r="H65" i="22"/>
  <c r="H53" i="22"/>
  <c r="F53" i="22"/>
  <c r="H51" i="22"/>
  <c r="F51" i="22"/>
  <c r="H93" i="16"/>
  <c r="H79" i="16"/>
  <c r="F79" i="16"/>
  <c r="H78" i="16"/>
  <c r="F78" i="16"/>
  <c r="H70" i="16"/>
  <c r="H53" i="16"/>
  <c r="F53" i="16"/>
  <c r="H51" i="16"/>
  <c r="F51" i="16"/>
  <c r="H94" i="14"/>
  <c r="H80" i="14"/>
  <c r="F80" i="14"/>
  <c r="H79" i="14"/>
  <c r="F79" i="14"/>
  <c r="H71" i="14"/>
  <c r="F71" i="14"/>
  <c r="H65" i="14"/>
  <c r="H53" i="14"/>
  <c r="F53" i="14"/>
  <c r="H51" i="14"/>
  <c r="F51" i="14"/>
  <c r="H96" i="21"/>
  <c r="H79" i="21"/>
  <c r="F79" i="21"/>
  <c r="H78" i="21"/>
  <c r="F78" i="21"/>
  <c r="H70" i="21"/>
  <c r="H64" i="21"/>
  <c r="F64" i="21"/>
  <c r="H53" i="21"/>
  <c r="F53" i="21"/>
  <c r="H51" i="21"/>
  <c r="F51" i="21"/>
  <c r="H92" i="20"/>
  <c r="H79" i="20"/>
  <c r="F79" i="20"/>
  <c r="H78" i="20"/>
  <c r="F78" i="20"/>
  <c r="H70" i="20"/>
  <c r="H53" i="20"/>
  <c r="F53" i="20"/>
  <c r="H92" i="18"/>
  <c r="H79" i="18"/>
  <c r="F79" i="18"/>
  <c r="H78" i="18"/>
  <c r="F78" i="18"/>
  <c r="H70" i="18"/>
  <c r="H53" i="18"/>
  <c r="F53" i="18"/>
  <c r="H51" i="18"/>
  <c r="F51" i="18"/>
  <c r="H91" i="19"/>
  <c r="H78" i="19"/>
  <c r="F78" i="19"/>
  <c r="H77" i="19"/>
  <c r="F77" i="19"/>
  <c r="H53" i="19"/>
  <c r="F53" i="19"/>
  <c r="H51" i="19"/>
  <c r="F51" i="19"/>
  <c r="H90" i="15"/>
  <c r="H78" i="15"/>
  <c r="F78" i="15"/>
  <c r="H77" i="15"/>
  <c r="F77" i="15"/>
  <c r="H69" i="15"/>
  <c r="H53" i="15"/>
  <c r="F53" i="15"/>
  <c r="H51" i="15"/>
  <c r="F51" i="15"/>
  <c r="H91" i="13"/>
  <c r="H79" i="13"/>
  <c r="F79" i="13"/>
  <c r="H78" i="13"/>
  <c r="F78" i="13"/>
  <c r="H70" i="13"/>
  <c r="H53" i="13"/>
  <c r="F53" i="13"/>
  <c r="H51" i="13"/>
  <c r="F51" i="13"/>
  <c r="H92" i="6" l="1"/>
  <c r="H79" i="6"/>
  <c r="H78" i="6"/>
  <c r="H53" i="6"/>
  <c r="H51" i="6"/>
  <c r="H92" i="7"/>
  <c r="H79" i="7"/>
  <c r="H78" i="7"/>
  <c r="H53" i="7"/>
  <c r="H51" i="7"/>
  <c r="H93" i="8"/>
  <c r="H79" i="8"/>
  <c r="H53" i="8"/>
  <c r="H51" i="8"/>
  <c r="H92" i="17" l="1"/>
  <c r="H80" i="17"/>
  <c r="F80" i="17"/>
  <c r="H79" i="17"/>
  <c r="F79" i="17"/>
  <c r="H53" i="17"/>
  <c r="F53" i="17"/>
  <c r="H51" i="17"/>
  <c r="F51" i="17"/>
  <c r="G113" i="17" l="1"/>
  <c r="G114" i="17"/>
  <c r="F114" i="17"/>
  <c r="F113" i="17"/>
  <c r="C136" i="8" l="1"/>
  <c r="E136" i="8"/>
  <c r="C135" i="17" l="1"/>
  <c r="C138" i="12"/>
  <c r="C136" i="10"/>
  <c r="C134" i="11"/>
  <c r="C137" i="5"/>
  <c r="C136" i="31"/>
  <c r="C140" i="29"/>
  <c r="C136" i="28"/>
  <c r="C138" i="27"/>
  <c r="C141" i="9"/>
  <c r="C134" i="26"/>
  <c r="C135" i="25"/>
  <c r="C135" i="24"/>
  <c r="C139" i="23"/>
  <c r="C138" i="22"/>
  <c r="C136" i="16"/>
  <c r="C137" i="14"/>
  <c r="C139" i="21"/>
  <c r="C135" i="20"/>
  <c r="C134" i="19"/>
  <c r="C135" i="18"/>
  <c r="C133" i="15"/>
  <c r="C134" i="13"/>
  <c r="C135" i="7"/>
  <c r="C137" i="30"/>
  <c r="C148" i="32"/>
  <c r="C149" i="32"/>
  <c r="C150" i="32"/>
  <c r="C151" i="32"/>
  <c r="C152" i="32"/>
  <c r="C154" i="32"/>
  <c r="C155" i="32"/>
  <c r="C156" i="32"/>
  <c r="C157" i="32"/>
  <c r="C158" i="32"/>
  <c r="C159" i="32"/>
  <c r="C160" i="32"/>
  <c r="C147" i="32"/>
  <c r="C139" i="31" l="1"/>
  <c r="C141" i="31" s="1"/>
  <c r="D139" i="31"/>
  <c r="F139" i="31"/>
  <c r="D140" i="31"/>
  <c r="F140" i="31"/>
  <c r="D141" i="31"/>
  <c r="F141" i="31"/>
  <c r="C144" i="9"/>
  <c r="D144" i="9"/>
  <c r="F144" i="9"/>
  <c r="C145" i="9"/>
  <c r="D145" i="9"/>
  <c r="D146" i="9" s="1"/>
  <c r="F145" i="9"/>
  <c r="C146" i="9"/>
  <c r="F146" i="9"/>
  <c r="E9" i="32" l="1"/>
  <c r="E10" i="32"/>
  <c r="E12" i="9"/>
  <c r="E29" i="32"/>
  <c r="F45" i="11"/>
  <c r="F47" i="11"/>
  <c r="F46" i="11"/>
  <c r="F46" i="9"/>
  <c r="H47" i="12"/>
  <c r="H46" i="12"/>
  <c r="H45" i="12"/>
  <c r="H47" i="10"/>
  <c r="H46" i="10"/>
  <c r="H45" i="10"/>
  <c r="H47" i="11"/>
  <c r="H46" i="11"/>
  <c r="H45" i="11"/>
  <c r="H47" i="5"/>
  <c r="H46" i="5"/>
  <c r="H45" i="5"/>
  <c r="H47" i="31"/>
  <c r="H46" i="31"/>
  <c r="H45" i="31"/>
  <c r="H47" i="30"/>
  <c r="H46" i="30"/>
  <c r="H45" i="30"/>
  <c r="H47" i="29"/>
  <c r="H46" i="29"/>
  <c r="H45" i="29"/>
  <c r="H47" i="28"/>
  <c r="H46" i="28"/>
  <c r="H45" i="28"/>
  <c r="H47" i="27"/>
  <c r="H46" i="27"/>
  <c r="H45" i="27"/>
  <c r="H47" i="9"/>
  <c r="H46" i="9"/>
  <c r="H45" i="9"/>
  <c r="H46" i="26"/>
  <c r="H45" i="26"/>
  <c r="H47" i="25"/>
  <c r="H46" i="25"/>
  <c r="H45" i="25"/>
  <c r="H47" i="24"/>
  <c r="H46" i="24"/>
  <c r="H45" i="24"/>
  <c r="H47" i="23"/>
  <c r="H46" i="23"/>
  <c r="H45" i="23"/>
  <c r="H47" i="22"/>
  <c r="H46" i="22"/>
  <c r="H45" i="22"/>
  <c r="H47" i="16"/>
  <c r="H46" i="16"/>
  <c r="H45" i="16"/>
  <c r="H47" i="14"/>
  <c r="H46" i="14"/>
  <c r="H45" i="14"/>
  <c r="H47" i="21"/>
  <c r="H46" i="21"/>
  <c r="H45" i="21"/>
  <c r="H47" i="20"/>
  <c r="H46" i="20"/>
  <c r="H45" i="20"/>
  <c r="H47" i="19"/>
  <c r="H46" i="19"/>
  <c r="H45" i="19"/>
  <c r="H47" i="18"/>
  <c r="H46" i="18"/>
  <c r="H45" i="18"/>
  <c r="H47" i="17"/>
  <c r="H46" i="17"/>
  <c r="H45" i="17"/>
  <c r="H47" i="15"/>
  <c r="H46" i="15"/>
  <c r="H45" i="15"/>
  <c r="H47" i="13"/>
  <c r="H46" i="13"/>
  <c r="H45" i="13"/>
  <c r="G97" i="25" l="1"/>
  <c r="G96" i="13"/>
  <c r="G98" i="10"/>
  <c r="E98" i="10"/>
  <c r="D98" i="10"/>
  <c r="E97" i="25"/>
  <c r="D97" i="25"/>
  <c r="E96" i="13"/>
  <c r="D96" i="13"/>
  <c r="G100" i="12" l="1"/>
  <c r="E100" i="12"/>
  <c r="D100" i="12"/>
  <c r="H44" i="12"/>
  <c r="H44" i="10"/>
  <c r="G96" i="11"/>
  <c r="E96" i="11"/>
  <c r="D96" i="11"/>
  <c r="H44" i="11"/>
  <c r="G99" i="5"/>
  <c r="E99" i="5"/>
  <c r="D99" i="5"/>
  <c r="H44" i="5"/>
  <c r="H44" i="31"/>
  <c r="G98" i="31"/>
  <c r="E98" i="31"/>
  <c r="D98" i="31"/>
  <c r="H44" i="30"/>
  <c r="G99" i="30"/>
  <c r="E99" i="30"/>
  <c r="D99" i="30"/>
  <c r="G102" i="29"/>
  <c r="E102" i="29"/>
  <c r="D102" i="29"/>
  <c r="H44" i="29"/>
  <c r="G98" i="28"/>
  <c r="E98" i="28"/>
  <c r="D98" i="28"/>
  <c r="G100" i="27"/>
  <c r="E100" i="27"/>
  <c r="D100" i="27"/>
  <c r="H44" i="27" l="1"/>
  <c r="F44" i="27"/>
  <c r="G103" i="9"/>
  <c r="E103" i="9"/>
  <c r="D103" i="9"/>
  <c r="H44" i="9"/>
  <c r="G96" i="26"/>
  <c r="E96" i="26"/>
  <c r="D96" i="26"/>
  <c r="H44" i="26"/>
  <c r="H44" i="25"/>
  <c r="G97" i="24"/>
  <c r="E97" i="24"/>
  <c r="D97" i="24"/>
  <c r="H44" i="24"/>
  <c r="G101" i="23"/>
  <c r="E101" i="23"/>
  <c r="D101" i="23"/>
  <c r="H44" i="23"/>
  <c r="G100" i="22"/>
  <c r="E100" i="22"/>
  <c r="D100" i="22"/>
  <c r="H44" i="22"/>
  <c r="G98" i="16"/>
  <c r="D98" i="16"/>
  <c r="E98" i="16"/>
  <c r="H44" i="16"/>
  <c r="H44" i="14"/>
  <c r="G99" i="14"/>
  <c r="E99" i="14"/>
  <c r="D99" i="14"/>
  <c r="G101" i="21"/>
  <c r="E101" i="21"/>
  <c r="D101" i="21"/>
  <c r="H44" i="21"/>
  <c r="H44" i="20"/>
  <c r="G97" i="20"/>
  <c r="E97" i="20"/>
  <c r="D97" i="20"/>
  <c r="G96" i="19"/>
  <c r="E96" i="19"/>
  <c r="D96" i="19"/>
  <c r="H44" i="19"/>
  <c r="H44" i="18"/>
  <c r="G97" i="18"/>
  <c r="E97" i="18"/>
  <c r="D97" i="18"/>
  <c r="H44" i="17"/>
  <c r="G97" i="17"/>
  <c r="E97" i="17"/>
  <c r="D97" i="17"/>
  <c r="H44" i="15"/>
  <c r="G95" i="15"/>
  <c r="E95" i="15"/>
  <c r="D95" i="15"/>
  <c r="H44" i="13"/>
  <c r="H44" i="6" l="1"/>
  <c r="F44" i="6"/>
  <c r="G97" i="6"/>
  <c r="G122" i="32" s="1"/>
  <c r="E97" i="6"/>
  <c r="E122" i="32" s="1"/>
  <c r="D97" i="6"/>
  <c r="D122" i="32" s="1"/>
  <c r="H44" i="7"/>
  <c r="F44" i="7"/>
  <c r="G97" i="7"/>
  <c r="E97" i="7"/>
  <c r="D97" i="7"/>
  <c r="H44" i="8"/>
  <c r="F44" i="8"/>
  <c r="G98" i="8"/>
  <c r="E98" i="8"/>
  <c r="D98" i="8"/>
  <c r="H117" i="31" l="1"/>
  <c r="H116" i="31"/>
  <c r="H114" i="31"/>
  <c r="H113" i="31"/>
  <c r="G97" i="31"/>
  <c r="G31" i="31"/>
  <c r="G35" i="31"/>
  <c r="G101" i="31"/>
  <c r="G99" i="31"/>
  <c r="G36" i="31"/>
  <c r="G37" i="31"/>
  <c r="G33" i="31"/>
  <c r="G32" i="31"/>
  <c r="H112" i="31"/>
  <c r="G104" i="31"/>
  <c r="G100" i="31"/>
  <c r="G105" i="31"/>
  <c r="H115" i="31"/>
  <c r="G102" i="31"/>
  <c r="G103" i="31"/>
  <c r="H118" i="30"/>
  <c r="H117" i="30"/>
  <c r="H115" i="30"/>
  <c r="H114" i="30"/>
  <c r="G98" i="30"/>
  <c r="G31" i="30"/>
  <c r="G35" i="30"/>
  <c r="G100" i="30"/>
  <c r="G36" i="30"/>
  <c r="G37" i="30"/>
  <c r="G33" i="30"/>
  <c r="G32" i="30"/>
  <c r="H113" i="30"/>
  <c r="G105" i="30"/>
  <c r="G101" i="30"/>
  <c r="F141" i="30"/>
  <c r="F140" i="30"/>
  <c r="H116" i="30"/>
  <c r="G103" i="30"/>
  <c r="G104" i="30"/>
  <c r="H115" i="26"/>
  <c r="H114" i="26"/>
  <c r="H112" i="26"/>
  <c r="H111" i="26"/>
  <c r="G95" i="26"/>
  <c r="G31" i="26"/>
  <c r="G32" i="26"/>
  <c r="G35" i="26"/>
  <c r="G97" i="26"/>
  <c r="G36" i="26"/>
  <c r="G37" i="26"/>
  <c r="H110" i="26"/>
  <c r="G102" i="26"/>
  <c r="G98" i="26"/>
  <c r="F138" i="26"/>
  <c r="F137" i="26"/>
  <c r="H113" i="26"/>
  <c r="G100" i="26"/>
  <c r="G101" i="26"/>
  <c r="H116" i="25" l="1"/>
  <c r="H115" i="25"/>
  <c r="H113" i="25"/>
  <c r="H112" i="25"/>
  <c r="G96" i="25"/>
  <c r="G31" i="25"/>
  <c r="G35" i="25"/>
  <c r="G98" i="25"/>
  <c r="G36" i="25"/>
  <c r="G37" i="25"/>
  <c r="G33" i="25"/>
  <c r="G32" i="25"/>
  <c r="H111" i="25"/>
  <c r="G103" i="25"/>
  <c r="G99" i="25"/>
  <c r="F139" i="25"/>
  <c r="F138" i="25"/>
  <c r="H114" i="25"/>
  <c r="G101" i="25"/>
  <c r="G102" i="25"/>
  <c r="H121" i="29"/>
  <c r="H120" i="29"/>
  <c r="H118" i="29"/>
  <c r="G101" i="29"/>
  <c r="G31" i="29"/>
  <c r="G35" i="29"/>
  <c r="G103" i="29"/>
  <c r="G36" i="29"/>
  <c r="G37" i="29"/>
  <c r="G33" i="29"/>
  <c r="G32" i="29"/>
  <c r="H116" i="29"/>
  <c r="G108" i="29"/>
  <c r="G104" i="29"/>
  <c r="H117" i="29"/>
  <c r="F144" i="29"/>
  <c r="F143" i="29"/>
  <c r="H119" i="29"/>
  <c r="G106" i="29"/>
  <c r="G107" i="29"/>
  <c r="H116" i="24"/>
  <c r="H115" i="24"/>
  <c r="H113" i="24"/>
  <c r="H112" i="24"/>
  <c r="G96" i="24"/>
  <c r="G31" i="24"/>
  <c r="G35" i="24"/>
  <c r="G100" i="24"/>
  <c r="G98" i="24"/>
  <c r="G36" i="24"/>
  <c r="G37" i="24"/>
  <c r="G33" i="24"/>
  <c r="G32" i="24"/>
  <c r="H111" i="24"/>
  <c r="G103" i="24"/>
  <c r="G99" i="24"/>
  <c r="F139" i="24"/>
  <c r="F138" i="24"/>
  <c r="H114" i="24"/>
  <c r="G101" i="24"/>
  <c r="G102" i="24"/>
  <c r="H117" i="28"/>
  <c r="H116" i="28"/>
  <c r="H114" i="28"/>
  <c r="G97" i="28"/>
  <c r="G31" i="28"/>
  <c r="G35" i="28"/>
  <c r="G101" i="28"/>
  <c r="G99" i="28"/>
  <c r="G36" i="28"/>
  <c r="G37" i="28"/>
  <c r="G33" i="28"/>
  <c r="G32" i="28"/>
  <c r="H112" i="28"/>
  <c r="G104" i="28"/>
  <c r="G100" i="28"/>
  <c r="G105" i="28"/>
  <c r="H113" i="28"/>
  <c r="F140" i="28"/>
  <c r="F139" i="28"/>
  <c r="H115" i="28"/>
  <c r="G102" i="28"/>
  <c r="G103" i="28"/>
  <c r="H119" i="27"/>
  <c r="H118" i="27"/>
  <c r="H116" i="27"/>
  <c r="H115" i="27"/>
  <c r="G99" i="27"/>
  <c r="G31" i="27"/>
  <c r="G35" i="27"/>
  <c r="G103" i="27"/>
  <c r="G101" i="27"/>
  <c r="G36" i="27"/>
  <c r="G37" i="27"/>
  <c r="G33" i="27"/>
  <c r="G32" i="27"/>
  <c r="H114" i="27"/>
  <c r="G106" i="27"/>
  <c r="G102" i="27"/>
  <c r="F142" i="27"/>
  <c r="F141" i="27"/>
  <c r="H117" i="27"/>
  <c r="G104" i="27"/>
  <c r="G105" i="27"/>
  <c r="H120" i="23"/>
  <c r="H119" i="23"/>
  <c r="H117" i="23"/>
  <c r="H116" i="23"/>
  <c r="G100" i="23"/>
  <c r="G31" i="23"/>
  <c r="G35" i="23"/>
  <c r="G102" i="23"/>
  <c r="G36" i="23"/>
  <c r="G37" i="23"/>
  <c r="G33" i="23"/>
  <c r="G32" i="23"/>
  <c r="H115" i="23"/>
  <c r="G107" i="23"/>
  <c r="G103" i="23"/>
  <c r="F143" i="23"/>
  <c r="F142" i="23"/>
  <c r="H118" i="23"/>
  <c r="G105" i="23"/>
  <c r="G106" i="23"/>
  <c r="H120" i="21"/>
  <c r="H119" i="21"/>
  <c r="H117" i="21"/>
  <c r="G100" i="21"/>
  <c r="G31" i="21"/>
  <c r="G35" i="21"/>
  <c r="G104" i="21"/>
  <c r="G102" i="21"/>
  <c r="G36" i="21"/>
  <c r="G37" i="21"/>
  <c r="G33" i="21"/>
  <c r="G32" i="21"/>
  <c r="H115" i="21"/>
  <c r="G107" i="21"/>
  <c r="G103" i="21"/>
  <c r="H116" i="21"/>
  <c r="F143" i="21"/>
  <c r="F142" i="21"/>
  <c r="H118" i="21"/>
  <c r="G105" i="21"/>
  <c r="G106" i="21"/>
  <c r="H116" i="20"/>
  <c r="H115" i="20"/>
  <c r="H113" i="20"/>
  <c r="H112" i="20"/>
  <c r="G96" i="20"/>
  <c r="G31" i="20"/>
  <c r="G35" i="20"/>
  <c r="G100" i="20"/>
  <c r="G98" i="20"/>
  <c r="G36" i="20"/>
  <c r="G37" i="20"/>
  <c r="G33" i="20"/>
  <c r="G32" i="20"/>
  <c r="H111" i="20"/>
  <c r="G103" i="20"/>
  <c r="G99" i="20"/>
  <c r="G104" i="20"/>
  <c r="F139" i="20"/>
  <c r="F138" i="20"/>
  <c r="H114" i="20"/>
  <c r="G101" i="20"/>
  <c r="G102" i="20"/>
  <c r="H115" i="19"/>
  <c r="H114" i="19"/>
  <c r="H112" i="19"/>
  <c r="H111" i="19"/>
  <c r="G95" i="19"/>
  <c r="G31" i="19"/>
  <c r="G35" i="19"/>
  <c r="G99" i="19"/>
  <c r="G97" i="19"/>
  <c r="G36" i="19"/>
  <c r="G37" i="19"/>
  <c r="G33" i="19"/>
  <c r="G32" i="19"/>
  <c r="H110" i="19"/>
  <c r="G102" i="19"/>
  <c r="G98" i="19"/>
  <c r="G103" i="19"/>
  <c r="F138" i="19"/>
  <c r="F137" i="19"/>
  <c r="H113" i="19"/>
  <c r="G100" i="19"/>
  <c r="G101" i="19"/>
  <c r="H116" i="18"/>
  <c r="H115" i="18"/>
  <c r="H113" i="18"/>
  <c r="H112" i="18"/>
  <c r="G96" i="18"/>
  <c r="G31" i="18"/>
  <c r="G35" i="18"/>
  <c r="G100" i="18"/>
  <c r="G98" i="18"/>
  <c r="G36" i="18"/>
  <c r="G37" i="18"/>
  <c r="G33" i="18"/>
  <c r="G32" i="18"/>
  <c r="H111" i="18"/>
  <c r="G103" i="18"/>
  <c r="G99" i="18"/>
  <c r="G104" i="18"/>
  <c r="F139" i="18"/>
  <c r="F138" i="18"/>
  <c r="H114" i="18"/>
  <c r="G101" i="18"/>
  <c r="G102" i="18"/>
  <c r="H116" i="17"/>
  <c r="H115" i="17"/>
  <c r="H113" i="17"/>
  <c r="H112" i="17"/>
  <c r="G96" i="17"/>
  <c r="G31" i="17"/>
  <c r="G35" i="17"/>
  <c r="G100" i="17"/>
  <c r="G98" i="17"/>
  <c r="G36" i="17"/>
  <c r="G37" i="17"/>
  <c r="G33" i="17"/>
  <c r="G32" i="17"/>
  <c r="H111" i="17"/>
  <c r="G99" i="17"/>
  <c r="G104" i="17"/>
  <c r="F139" i="17"/>
  <c r="F138" i="17"/>
  <c r="H114" i="17"/>
  <c r="G101" i="17"/>
  <c r="G102" i="17"/>
  <c r="G103" i="16"/>
  <c r="H113" i="16" l="1"/>
  <c r="H117" i="16"/>
  <c r="H116" i="16"/>
  <c r="H114" i="16"/>
  <c r="G97" i="16"/>
  <c r="G31" i="16"/>
  <c r="G35" i="16"/>
  <c r="G99" i="16"/>
  <c r="G36" i="16"/>
  <c r="G37" i="16"/>
  <c r="G33" i="16"/>
  <c r="G32" i="16"/>
  <c r="H112" i="16"/>
  <c r="G104" i="16"/>
  <c r="G100" i="16"/>
  <c r="F140" i="16"/>
  <c r="F139" i="16"/>
  <c r="H115" i="16"/>
  <c r="G102" i="16"/>
  <c r="H114" i="15"/>
  <c r="H113" i="15"/>
  <c r="H111" i="15"/>
  <c r="H110" i="15"/>
  <c r="G94" i="15"/>
  <c r="G31" i="15"/>
  <c r="G35" i="15"/>
  <c r="G98" i="15"/>
  <c r="G96" i="15"/>
  <c r="G36" i="15"/>
  <c r="G37" i="15"/>
  <c r="G33" i="15"/>
  <c r="G32" i="15"/>
  <c r="H109" i="15"/>
  <c r="G101" i="15"/>
  <c r="G97" i="15"/>
  <c r="G102" i="15"/>
  <c r="F137" i="15"/>
  <c r="F136" i="15"/>
  <c r="H112" i="15"/>
  <c r="G99" i="15"/>
  <c r="G100" i="15"/>
  <c r="H118" i="14"/>
  <c r="H117" i="14"/>
  <c r="H115" i="14"/>
  <c r="H114" i="14"/>
  <c r="G98" i="14"/>
  <c r="G31" i="14"/>
  <c r="G35" i="14"/>
  <c r="G100" i="14"/>
  <c r="G36" i="14"/>
  <c r="G37" i="14"/>
  <c r="G33" i="14"/>
  <c r="G32" i="14"/>
  <c r="H113" i="14"/>
  <c r="G105" i="14"/>
  <c r="G101" i="14"/>
  <c r="F141" i="14"/>
  <c r="F140" i="14"/>
  <c r="H116" i="14"/>
  <c r="G103" i="14"/>
  <c r="G104" i="14"/>
  <c r="H112" i="13"/>
  <c r="H115" i="13" l="1"/>
  <c r="H114" i="13"/>
  <c r="H111" i="13"/>
  <c r="G95" i="13"/>
  <c r="G31" i="13"/>
  <c r="G35" i="13"/>
  <c r="G99" i="13"/>
  <c r="G97" i="13"/>
  <c r="G36" i="13"/>
  <c r="G37" i="13"/>
  <c r="G33" i="13"/>
  <c r="G32" i="13"/>
  <c r="H110" i="13"/>
  <c r="G98" i="13"/>
  <c r="G103" i="13"/>
  <c r="F138" i="13"/>
  <c r="F137" i="13"/>
  <c r="H113" i="13"/>
  <c r="G100" i="13"/>
  <c r="G101" i="13"/>
  <c r="H117" i="12"/>
  <c r="H119" i="12" l="1"/>
  <c r="H118" i="12"/>
  <c r="H116" i="12"/>
  <c r="H115" i="12"/>
  <c r="G99" i="12"/>
  <c r="G31" i="12"/>
  <c r="G35" i="12"/>
  <c r="G101" i="12"/>
  <c r="G36" i="12"/>
  <c r="G37" i="12"/>
  <c r="G33" i="12"/>
  <c r="G32" i="12"/>
  <c r="H114" i="12"/>
  <c r="G106" i="12"/>
  <c r="G102" i="12"/>
  <c r="F142" i="12"/>
  <c r="F141" i="12"/>
  <c r="G104" i="12"/>
  <c r="G105" i="12"/>
  <c r="F138" i="11"/>
  <c r="H115" i="11" l="1"/>
  <c r="H114" i="11"/>
  <c r="H112" i="11"/>
  <c r="H111" i="11"/>
  <c r="G95" i="11"/>
  <c r="G31" i="11"/>
  <c r="G35" i="11"/>
  <c r="G99" i="11"/>
  <c r="G97" i="11"/>
  <c r="G36" i="11"/>
  <c r="G37" i="11"/>
  <c r="G33" i="11"/>
  <c r="G32" i="11"/>
  <c r="H110" i="11"/>
  <c r="G102" i="11"/>
  <c r="G98" i="11"/>
  <c r="F137" i="11"/>
  <c r="H113" i="11"/>
  <c r="G100" i="11"/>
  <c r="G101" i="11"/>
  <c r="H113" i="10"/>
  <c r="H117" i="10"/>
  <c r="H114" i="10"/>
  <c r="H116" i="10"/>
  <c r="G33" i="10"/>
  <c r="G32" i="10"/>
  <c r="H112" i="10"/>
  <c r="G104" i="10"/>
  <c r="G105" i="10"/>
  <c r="F140" i="10"/>
  <c r="F139" i="10"/>
  <c r="H115" i="10"/>
  <c r="G36" i="10"/>
  <c r="G37" i="10"/>
  <c r="G31" i="10"/>
  <c r="G35" i="10"/>
  <c r="G101" i="10"/>
  <c r="G100" i="10"/>
  <c r="G99" i="10"/>
  <c r="G123" i="32" s="1"/>
  <c r="G97" i="10"/>
  <c r="G121" i="32" s="1"/>
  <c r="G102" i="10"/>
  <c r="G103" i="10"/>
  <c r="H118" i="9"/>
  <c r="H120" i="9"/>
  <c r="G107" i="9"/>
  <c r="H119" i="9"/>
  <c r="H121" i="9"/>
  <c r="G121" i="9"/>
  <c r="G105" i="9"/>
  <c r="G124" i="32" s="1"/>
  <c r="G109" i="9"/>
  <c r="H117" i="9"/>
  <c r="H122" i="9"/>
  <c r="G106" i="9"/>
  <c r="G104" i="9"/>
  <c r="G102" i="9"/>
  <c r="G108" i="9"/>
  <c r="G37" i="9"/>
  <c r="G36" i="9"/>
  <c r="G35" i="9"/>
  <c r="G33" i="9"/>
  <c r="G32" i="9"/>
  <c r="G31" i="9"/>
  <c r="H116" i="8"/>
  <c r="H114" i="8"/>
  <c r="G35" i="8"/>
  <c r="G100" i="8"/>
  <c r="H113" i="8"/>
  <c r="F140" i="8"/>
  <c r="F139" i="8"/>
  <c r="H115" i="8"/>
  <c r="G102" i="8"/>
  <c r="G103" i="8"/>
  <c r="H112" i="8"/>
  <c r="G104" i="8"/>
  <c r="G99" i="8"/>
  <c r="G101" i="8"/>
  <c r="G97" i="8"/>
  <c r="G37" i="8"/>
  <c r="G36" i="8"/>
  <c r="G33" i="8"/>
  <c r="G32" i="8"/>
  <c r="G31" i="8"/>
  <c r="H115" i="7"/>
  <c r="H113" i="7"/>
  <c r="H112" i="7"/>
  <c r="F138" i="7"/>
  <c r="H114" i="7"/>
  <c r="H111" i="7"/>
  <c r="G101" i="7"/>
  <c r="G100" i="7"/>
  <c r="G98" i="7"/>
  <c r="G96" i="7"/>
  <c r="G37" i="7"/>
  <c r="G36" i="7"/>
  <c r="G35" i="7"/>
  <c r="G33" i="7"/>
  <c r="G32" i="7"/>
  <c r="G31" i="7"/>
  <c r="F138" i="6"/>
  <c r="H113" i="6"/>
  <c r="H115" i="6"/>
  <c r="H114" i="6"/>
  <c r="H112" i="6"/>
  <c r="H111" i="6"/>
  <c r="G101" i="6"/>
  <c r="G100" i="6"/>
  <c r="G98" i="6"/>
  <c r="G96" i="6"/>
  <c r="G37" i="6"/>
  <c r="G36" i="6"/>
  <c r="G35" i="6"/>
  <c r="G33" i="6"/>
  <c r="G32" i="6"/>
  <c r="G31" i="6"/>
  <c r="G41" i="32"/>
  <c r="G39" i="32" l="1"/>
  <c r="G40" i="32"/>
  <c r="G38" i="32"/>
  <c r="G44" i="32"/>
  <c r="G42" i="32"/>
  <c r="G43" i="32"/>
  <c r="G45" i="32" l="1"/>
  <c r="H53" i="32"/>
  <c r="H54" i="32"/>
  <c r="F46" i="24"/>
  <c r="F47" i="24"/>
  <c r="F45" i="24"/>
  <c r="F44" i="24" s="1"/>
  <c r="F46" i="23"/>
  <c r="F47" i="23"/>
  <c r="F45" i="23"/>
  <c r="F46" i="16"/>
  <c r="F47" i="16"/>
  <c r="F48" i="16"/>
  <c r="F45" i="16"/>
  <c r="F46" i="14"/>
  <c r="F47" i="14"/>
  <c r="F45" i="14"/>
  <c r="F44" i="14" s="1"/>
  <c r="F46" i="21"/>
  <c r="F47" i="21"/>
  <c r="F48" i="21"/>
  <c r="F45" i="21"/>
  <c r="F44" i="21" s="1"/>
  <c r="F47" i="20"/>
  <c r="F45" i="20"/>
  <c r="F44" i="20" s="1"/>
  <c r="F46" i="19"/>
  <c r="F46" i="18"/>
  <c r="F47" i="18"/>
  <c r="F45" i="18"/>
  <c r="F44" i="18" s="1"/>
  <c r="F46" i="17"/>
  <c r="F47" i="17"/>
  <c r="F45" i="17"/>
  <c r="F46" i="15"/>
  <c r="F44" i="15" s="1"/>
  <c r="F47" i="15"/>
  <c r="F46" i="13"/>
  <c r="F47" i="13"/>
  <c r="F45" i="13"/>
  <c r="F46" i="12"/>
  <c r="F47" i="12"/>
  <c r="F45" i="12"/>
  <c r="F46" i="10"/>
  <c r="F47" i="10"/>
  <c r="F45" i="10"/>
  <c r="F44" i="11"/>
  <c r="F46" i="5"/>
  <c r="F47" i="5"/>
  <c r="F45" i="5"/>
  <c r="F46" i="29"/>
  <c r="F47" i="29"/>
  <c r="F45" i="29"/>
  <c r="H44" i="28"/>
  <c r="F46" i="28"/>
  <c r="F47" i="28"/>
  <c r="F45" i="28"/>
  <c r="F47" i="9"/>
  <c r="F48" i="9"/>
  <c r="F45" i="9"/>
  <c r="F44" i="9" s="1"/>
  <c r="F46" i="26"/>
  <c r="F45" i="26"/>
  <c r="D22" i="31"/>
  <c r="D22" i="30"/>
  <c r="D22" i="26"/>
  <c r="D22" i="25"/>
  <c r="D22" i="29"/>
  <c r="D22" i="24"/>
  <c r="D22" i="28"/>
  <c r="D22" i="27"/>
  <c r="F44" i="17" l="1"/>
  <c r="F44" i="23"/>
  <c r="F44" i="26"/>
  <c r="F44" i="10"/>
  <c r="F44" i="29"/>
  <c r="F44" i="13"/>
  <c r="F44" i="12"/>
  <c r="F44" i="5"/>
  <c r="F44" i="28"/>
  <c r="H52" i="32"/>
  <c r="H51" i="32" s="1"/>
  <c r="F44" i="16"/>
  <c r="F44" i="19"/>
  <c r="D22" i="23"/>
  <c r="D22" i="21"/>
  <c r="D22" i="20"/>
  <c r="D22" i="19"/>
  <c r="D22" i="18"/>
  <c r="D22" i="17"/>
  <c r="D22" i="16"/>
  <c r="D22" i="15"/>
  <c r="D22" i="14"/>
  <c r="D22" i="13"/>
  <c r="D22" i="12"/>
  <c r="D22" i="11"/>
  <c r="D22" i="10"/>
  <c r="D22" i="9"/>
  <c r="D22" i="5"/>
  <c r="D22" i="22"/>
  <c r="D29" i="32" l="1"/>
  <c r="E138" i="32"/>
  <c r="E188" i="32" l="1"/>
  <c r="E186" i="32"/>
  <c r="G110" i="19"/>
  <c r="G109" i="15"/>
  <c r="F115" i="12"/>
  <c r="C141" i="14"/>
  <c r="D140" i="14"/>
  <c r="F164" i="32"/>
  <c r="C139" i="8"/>
  <c r="E107" i="12"/>
  <c r="D107" i="12"/>
  <c r="F114" i="19"/>
  <c r="G116" i="10"/>
  <c r="G116" i="31"/>
  <c r="F116" i="31"/>
  <c r="G115" i="31"/>
  <c r="F115" i="31"/>
  <c r="G116" i="30"/>
  <c r="F116" i="30"/>
  <c r="H138" i="32" l="1"/>
  <c r="H140" i="32"/>
  <c r="H142" i="32"/>
  <c r="G125" i="32"/>
  <c r="G126" i="32"/>
  <c r="G128" i="32"/>
  <c r="E128" i="32"/>
  <c r="F39" i="32"/>
  <c r="F40" i="32"/>
  <c r="F41" i="32"/>
  <c r="F42" i="32"/>
  <c r="E39" i="32"/>
  <c r="E40" i="32"/>
  <c r="E41" i="32"/>
  <c r="E42" i="32"/>
  <c r="F38" i="32"/>
  <c r="E38" i="32"/>
  <c r="F46" i="22"/>
  <c r="F47" i="22"/>
  <c r="F48" i="22"/>
  <c r="F45" i="22"/>
  <c r="F101" i="22"/>
  <c r="F102" i="22"/>
  <c r="F103" i="22"/>
  <c r="F104" i="22"/>
  <c r="F106" i="22"/>
  <c r="F99" i="22"/>
  <c r="F119" i="22"/>
  <c r="E119" i="22" s="1"/>
  <c r="G118" i="22"/>
  <c r="F118" i="22"/>
  <c r="G116" i="22"/>
  <c r="F116" i="22"/>
  <c r="G115" i="22"/>
  <c r="F115" i="22"/>
  <c r="F100" i="22"/>
  <c r="E107" i="22"/>
  <c r="F107" i="22" s="1"/>
  <c r="E105" i="22"/>
  <c r="F105" i="22" s="1"/>
  <c r="G114" i="22"/>
  <c r="F114" i="22"/>
  <c r="G117" i="22"/>
  <c r="F117" i="22"/>
  <c r="D142" i="22"/>
  <c r="C142" i="22"/>
  <c r="D141" i="22"/>
  <c r="C141" i="22"/>
  <c r="D105" i="22"/>
  <c r="F37" i="22"/>
  <c r="F36" i="22"/>
  <c r="F46" i="31"/>
  <c r="F47" i="31"/>
  <c r="F45" i="31"/>
  <c r="F99" i="31"/>
  <c r="F100" i="31"/>
  <c r="F102" i="31"/>
  <c r="F104" i="31"/>
  <c r="F97" i="31"/>
  <c r="F117" i="31"/>
  <c r="E117" i="31" s="1"/>
  <c r="G114" i="31"/>
  <c r="F114" i="31"/>
  <c r="G113" i="31"/>
  <c r="F113" i="31"/>
  <c r="F98" i="31"/>
  <c r="E101" i="31"/>
  <c r="F101" i="31" s="1"/>
  <c r="D101" i="31"/>
  <c r="D99" i="31"/>
  <c r="E105" i="31"/>
  <c r="F105" i="31" s="1"/>
  <c r="E103" i="31"/>
  <c r="F103" i="31" s="1"/>
  <c r="G112" i="31"/>
  <c r="F112" i="31"/>
  <c r="D100" i="31"/>
  <c r="D105" i="31"/>
  <c r="D102" i="31"/>
  <c r="F36" i="31"/>
  <c r="F37" i="31"/>
  <c r="E36" i="31"/>
  <c r="F46" i="30"/>
  <c r="F47" i="30"/>
  <c r="F45" i="30"/>
  <c r="F44" i="30" s="1"/>
  <c r="F99" i="30"/>
  <c r="F100" i="30"/>
  <c r="F101" i="30"/>
  <c r="F102" i="30"/>
  <c r="F103" i="30"/>
  <c r="F104" i="30"/>
  <c r="F105" i="30"/>
  <c r="F98" i="30"/>
  <c r="F118" i="30"/>
  <c r="G117" i="30"/>
  <c r="F117" i="30"/>
  <c r="F115" i="30"/>
  <c r="G115" i="30"/>
  <c r="G114" i="30"/>
  <c r="F114" i="30"/>
  <c r="G106" i="30"/>
  <c r="E106" i="30"/>
  <c r="F106" i="30" s="1"/>
  <c r="G113" i="30"/>
  <c r="F113" i="30"/>
  <c r="D101" i="30"/>
  <c r="C141" i="30"/>
  <c r="D140" i="30"/>
  <c r="C140" i="30"/>
  <c r="D103" i="30"/>
  <c r="F37" i="30"/>
  <c r="F36" i="30"/>
  <c r="F97" i="26"/>
  <c r="F98" i="26"/>
  <c r="F100" i="26"/>
  <c r="F102" i="26"/>
  <c r="F95" i="26"/>
  <c r="F115" i="26"/>
  <c r="G114" i="26"/>
  <c r="F114" i="26"/>
  <c r="G112" i="26"/>
  <c r="F112" i="26"/>
  <c r="G111" i="26"/>
  <c r="F111" i="26"/>
  <c r="F96" i="26"/>
  <c r="E103" i="26"/>
  <c r="F103" i="26" s="1"/>
  <c r="G103" i="26"/>
  <c r="E101" i="26"/>
  <c r="F101" i="26" s="1"/>
  <c r="G110" i="26"/>
  <c r="F110" i="26"/>
  <c r="E110" i="26" s="1"/>
  <c r="G113" i="26"/>
  <c r="F113" i="26"/>
  <c r="D137" i="26"/>
  <c r="F36" i="26"/>
  <c r="F37" i="26"/>
  <c r="F46" i="25"/>
  <c r="F47" i="25"/>
  <c r="F45" i="25"/>
  <c r="F98" i="25"/>
  <c r="F99" i="25"/>
  <c r="F100" i="25"/>
  <c r="F101" i="25"/>
  <c r="F103" i="25"/>
  <c r="F96" i="25"/>
  <c r="F116" i="25"/>
  <c r="G115" i="25"/>
  <c r="F115" i="25"/>
  <c r="G113" i="25"/>
  <c r="F113" i="25"/>
  <c r="G112" i="25"/>
  <c r="F112" i="25"/>
  <c r="F97" i="25"/>
  <c r="G104" i="25"/>
  <c r="E104" i="25"/>
  <c r="F104" i="25" s="1"/>
  <c r="E102" i="25"/>
  <c r="F102" i="25" s="1"/>
  <c r="G111" i="25"/>
  <c r="F111" i="25"/>
  <c r="E111" i="25" s="1"/>
  <c r="G114" i="25"/>
  <c r="F114" i="25"/>
  <c r="D138" i="25"/>
  <c r="F37" i="25"/>
  <c r="F36" i="25"/>
  <c r="D106" i="29"/>
  <c r="F102" i="29"/>
  <c r="F103" i="29"/>
  <c r="F104" i="29"/>
  <c r="F105" i="29"/>
  <c r="F106" i="29"/>
  <c r="F108" i="29"/>
  <c r="F101" i="29"/>
  <c r="G121" i="29"/>
  <c r="F121" i="29"/>
  <c r="G120" i="29"/>
  <c r="F120" i="29"/>
  <c r="G118" i="29"/>
  <c r="F118" i="29"/>
  <c r="G117" i="29"/>
  <c r="F117" i="29"/>
  <c r="E109" i="29"/>
  <c r="F109" i="29" s="1"/>
  <c r="G109" i="29"/>
  <c r="E107" i="29"/>
  <c r="F107" i="29" s="1"/>
  <c r="G116" i="29"/>
  <c r="F116" i="29"/>
  <c r="G119" i="29"/>
  <c r="F119" i="29"/>
  <c r="D144" i="29"/>
  <c r="C144" i="29"/>
  <c r="D143" i="29"/>
  <c r="C143" i="29"/>
  <c r="E37" i="29"/>
  <c r="F36" i="29"/>
  <c r="F37" i="29"/>
  <c r="F98" i="24"/>
  <c r="F99" i="24"/>
  <c r="F101" i="24"/>
  <c r="F103" i="24"/>
  <c r="F96" i="24"/>
  <c r="F116" i="24"/>
  <c r="G115" i="24"/>
  <c r="F115" i="24"/>
  <c r="G113" i="24"/>
  <c r="F113" i="24"/>
  <c r="G112" i="24"/>
  <c r="F112" i="24"/>
  <c r="F97" i="24"/>
  <c r="E100" i="24"/>
  <c r="F100" i="24" s="1"/>
  <c r="D100" i="24"/>
  <c r="D98" i="24"/>
  <c r="E104" i="24"/>
  <c r="F104" i="24" s="1"/>
  <c r="G104" i="24"/>
  <c r="E102" i="24"/>
  <c r="F102" i="24" s="1"/>
  <c r="G111" i="24"/>
  <c r="F111" i="24"/>
  <c r="D103" i="24"/>
  <c r="D99" i="24"/>
  <c r="G114" i="24"/>
  <c r="F114" i="24"/>
  <c r="C139" i="24"/>
  <c r="D139" i="24"/>
  <c r="D138" i="24"/>
  <c r="C138" i="24"/>
  <c r="D101" i="24"/>
  <c r="F36" i="24"/>
  <c r="F37" i="24"/>
  <c r="F99" i="28"/>
  <c r="F100" i="28"/>
  <c r="F102" i="28"/>
  <c r="F104" i="28"/>
  <c r="F97" i="28"/>
  <c r="F117" i="28"/>
  <c r="F116" i="28"/>
  <c r="G116" i="28"/>
  <c r="G114" i="28"/>
  <c r="F114" i="28"/>
  <c r="G113" i="28"/>
  <c r="F113" i="28"/>
  <c r="F98" i="28"/>
  <c r="E101" i="28"/>
  <c r="F101" i="28" s="1"/>
  <c r="E105" i="28"/>
  <c r="F105" i="28" s="1"/>
  <c r="E103" i="28"/>
  <c r="F103" i="28" s="1"/>
  <c r="G112" i="28"/>
  <c r="F112" i="28"/>
  <c r="D105" i="28"/>
  <c r="G115" i="28"/>
  <c r="F115" i="28"/>
  <c r="D140" i="28"/>
  <c r="D139" i="28"/>
  <c r="F36" i="28"/>
  <c r="F37" i="28"/>
  <c r="H48" i="27"/>
  <c r="F101" i="27"/>
  <c r="F102" i="27"/>
  <c r="F104" i="27"/>
  <c r="F106" i="27"/>
  <c r="F99" i="27"/>
  <c r="F119" i="27"/>
  <c r="E119" i="27" s="1"/>
  <c r="F118" i="27"/>
  <c r="G118" i="27"/>
  <c r="G116" i="27"/>
  <c r="F116" i="27"/>
  <c r="G115" i="27"/>
  <c r="F115" i="27"/>
  <c r="F100" i="27"/>
  <c r="E103" i="27"/>
  <c r="F103" i="27" s="1"/>
  <c r="D103" i="27"/>
  <c r="D101" i="27"/>
  <c r="G107" i="27"/>
  <c r="E107" i="27"/>
  <c r="F107" i="27" s="1"/>
  <c r="D107" i="27"/>
  <c r="E105" i="27"/>
  <c r="F105" i="27" s="1"/>
  <c r="G114" i="27"/>
  <c r="F114" i="27"/>
  <c r="D106" i="27"/>
  <c r="D102" i="27"/>
  <c r="G117" i="27"/>
  <c r="F117" i="27"/>
  <c r="C142" i="27"/>
  <c r="D142" i="27"/>
  <c r="D141" i="27"/>
  <c r="C141" i="27"/>
  <c r="D104" i="27"/>
  <c r="F37" i="27"/>
  <c r="E37" i="27"/>
  <c r="F36" i="27"/>
  <c r="E36" i="27"/>
  <c r="F44" i="31" l="1"/>
  <c r="F54" i="32"/>
  <c r="F44" i="25"/>
  <c r="F53" i="32"/>
  <c r="F52" i="32"/>
  <c r="F44" i="22"/>
  <c r="F102" i="23"/>
  <c r="F103" i="23"/>
  <c r="F104" i="23"/>
  <c r="F105" i="23"/>
  <c r="F107" i="23"/>
  <c r="F100" i="23"/>
  <c r="F120" i="23"/>
  <c r="E120" i="23" s="1"/>
  <c r="G119" i="23"/>
  <c r="F119" i="23"/>
  <c r="G117" i="23"/>
  <c r="F117" i="23"/>
  <c r="G116" i="23"/>
  <c r="F116" i="23"/>
  <c r="F101" i="23"/>
  <c r="E108" i="23"/>
  <c r="F108" i="23" s="1"/>
  <c r="G108" i="23"/>
  <c r="G109" i="23" s="1"/>
  <c r="F26" i="23" s="1"/>
  <c r="E106" i="23"/>
  <c r="F106" i="23" s="1"/>
  <c r="G115" i="23"/>
  <c r="F115" i="23"/>
  <c r="E115" i="23" s="1"/>
  <c r="G118" i="23"/>
  <c r="F118" i="23"/>
  <c r="D143" i="23"/>
  <c r="C143" i="23"/>
  <c r="D142" i="23"/>
  <c r="C142" i="23"/>
  <c r="F37" i="23"/>
  <c r="F38" i="23" s="1"/>
  <c r="F36" i="23"/>
  <c r="F102" i="21"/>
  <c r="F103" i="21"/>
  <c r="F105" i="21"/>
  <c r="F107" i="21"/>
  <c r="F100" i="21"/>
  <c r="F120" i="21"/>
  <c r="E120" i="21" s="1"/>
  <c r="G119" i="21"/>
  <c r="F119" i="21"/>
  <c r="G117" i="21"/>
  <c r="F117" i="21"/>
  <c r="G116" i="21"/>
  <c r="G121" i="21" s="1"/>
  <c r="G24" i="21" s="1"/>
  <c r="F116" i="21"/>
  <c r="F101" i="21"/>
  <c r="E104" i="21"/>
  <c r="D104" i="21"/>
  <c r="D109" i="21" s="1"/>
  <c r="D102" i="21"/>
  <c r="G108" i="21"/>
  <c r="E108" i="21"/>
  <c r="E106" i="21"/>
  <c r="F106" i="21" s="1"/>
  <c r="G115" i="21"/>
  <c r="F115" i="21"/>
  <c r="D103" i="21"/>
  <c r="G118" i="21"/>
  <c r="F118" i="21"/>
  <c r="D143" i="21"/>
  <c r="C143" i="21"/>
  <c r="D142" i="21"/>
  <c r="C142" i="21"/>
  <c r="D105" i="21"/>
  <c r="D106" i="21"/>
  <c r="F37" i="21"/>
  <c r="F38" i="21" s="1"/>
  <c r="E24" i="21" s="1"/>
  <c r="F36" i="21"/>
  <c r="F98" i="20"/>
  <c r="F99" i="20"/>
  <c r="F101" i="20"/>
  <c r="F103" i="20"/>
  <c r="F96" i="20"/>
  <c r="F116" i="20"/>
  <c r="G115" i="20"/>
  <c r="F115" i="20"/>
  <c r="G113" i="20"/>
  <c r="F113" i="20"/>
  <c r="G112" i="20"/>
  <c r="F112" i="20"/>
  <c r="F97" i="20"/>
  <c r="E100" i="20"/>
  <c r="F100" i="20" s="1"/>
  <c r="E104" i="20"/>
  <c r="F104" i="20" s="1"/>
  <c r="E102" i="20"/>
  <c r="F102" i="20" s="1"/>
  <c r="G111" i="20"/>
  <c r="G117" i="20" s="1"/>
  <c r="G24" i="20" s="1"/>
  <c r="F111" i="20"/>
  <c r="G114" i="20"/>
  <c r="F114" i="20"/>
  <c r="D139" i="20"/>
  <c r="F37" i="20"/>
  <c r="F36" i="20"/>
  <c r="F96" i="19"/>
  <c r="F97" i="19"/>
  <c r="F98" i="19"/>
  <c r="F100" i="19"/>
  <c r="F102" i="19"/>
  <c r="F95" i="19"/>
  <c r="F115" i="19"/>
  <c r="G114" i="19"/>
  <c r="G112" i="19"/>
  <c r="F112" i="19"/>
  <c r="G111" i="19"/>
  <c r="F111" i="19"/>
  <c r="E99" i="19"/>
  <c r="F99" i="19" s="1"/>
  <c r="E103" i="19"/>
  <c r="F103" i="19" s="1"/>
  <c r="E101" i="19"/>
  <c r="F101" i="19" s="1"/>
  <c r="F110" i="19"/>
  <c r="D103" i="19"/>
  <c r="G113" i="19"/>
  <c r="G116" i="19" s="1"/>
  <c r="G24" i="19" s="1"/>
  <c r="F113" i="19"/>
  <c r="F37" i="19"/>
  <c r="F38" i="19" s="1"/>
  <c r="E24" i="19" s="1"/>
  <c r="F36" i="19"/>
  <c r="E14" i="32"/>
  <c r="E8" i="32"/>
  <c r="H118" i="31"/>
  <c r="G26" i="31" s="1"/>
  <c r="G118" i="31"/>
  <c r="F118" i="31"/>
  <c r="G106" i="31"/>
  <c r="F26" i="31" s="1"/>
  <c r="E106" i="31"/>
  <c r="F106" i="31" s="1"/>
  <c r="D106" i="31"/>
  <c r="G38" i="31"/>
  <c r="E26" i="31" s="1"/>
  <c r="F38" i="31"/>
  <c r="E38" i="31"/>
  <c r="G24" i="31"/>
  <c r="F24" i="31"/>
  <c r="E24" i="31"/>
  <c r="G23" i="31"/>
  <c r="F23" i="31"/>
  <c r="E23" i="31"/>
  <c r="F142" i="30"/>
  <c r="D142" i="30"/>
  <c r="C142" i="30"/>
  <c r="H119" i="30"/>
  <c r="G26" i="30" s="1"/>
  <c r="G119" i="30"/>
  <c r="G24" i="30" s="1"/>
  <c r="F119" i="30"/>
  <c r="G107" i="30"/>
  <c r="F26" i="30" s="1"/>
  <c r="E107" i="30"/>
  <c r="D107" i="30"/>
  <c r="G38" i="30"/>
  <c r="F38" i="30"/>
  <c r="E24" i="30" s="1"/>
  <c r="E38" i="30"/>
  <c r="F24" i="30"/>
  <c r="G23" i="30"/>
  <c r="F23" i="30"/>
  <c r="F145" i="29"/>
  <c r="D145" i="29"/>
  <c r="C145" i="29"/>
  <c r="H122" i="29"/>
  <c r="G26" i="29" s="1"/>
  <c r="G122" i="29"/>
  <c r="G24" i="29" s="1"/>
  <c r="F122" i="29"/>
  <c r="G110" i="29"/>
  <c r="F26" i="29" s="1"/>
  <c r="E110" i="29"/>
  <c r="F110" i="29" s="1"/>
  <c r="D110" i="29"/>
  <c r="G38" i="29"/>
  <c r="E26" i="29" s="1"/>
  <c r="D26" i="29" s="1"/>
  <c r="F38" i="29"/>
  <c r="E24" i="29" s="1"/>
  <c r="E38" i="29"/>
  <c r="F24" i="29"/>
  <c r="G23" i="29"/>
  <c r="F23" i="29"/>
  <c r="F141" i="28"/>
  <c r="D141" i="28"/>
  <c r="C141" i="28"/>
  <c r="H118" i="28"/>
  <c r="G26" i="28" s="1"/>
  <c r="G118" i="28"/>
  <c r="F118" i="28"/>
  <c r="G106" i="28"/>
  <c r="F26" i="28" s="1"/>
  <c r="E106" i="28"/>
  <c r="D106" i="28"/>
  <c r="G38" i="28"/>
  <c r="F38" i="28"/>
  <c r="E38" i="28"/>
  <c r="G24" i="28"/>
  <c r="F24" i="28"/>
  <c r="E24" i="28"/>
  <c r="G23" i="28"/>
  <c r="F23" i="28"/>
  <c r="F143" i="27"/>
  <c r="D143" i="27"/>
  <c r="C143" i="27"/>
  <c r="H120" i="27"/>
  <c r="G26" i="27" s="1"/>
  <c r="G120" i="27"/>
  <c r="G24" i="27" s="1"/>
  <c r="F120" i="27"/>
  <c r="G108" i="27"/>
  <c r="F26" i="27" s="1"/>
  <c r="E108" i="27"/>
  <c r="D108" i="27"/>
  <c r="G38" i="27"/>
  <c r="F38" i="27"/>
  <c r="E24" i="27" s="1"/>
  <c r="E38" i="27"/>
  <c r="F24" i="27"/>
  <c r="G23" i="27"/>
  <c r="F23" i="27"/>
  <c r="F139" i="26"/>
  <c r="D139" i="26"/>
  <c r="C139" i="26"/>
  <c r="H116" i="26"/>
  <c r="G26" i="26" s="1"/>
  <c r="G116" i="26"/>
  <c r="F116" i="26"/>
  <c r="G104" i="26"/>
  <c r="F26" i="26" s="1"/>
  <c r="E104" i="26"/>
  <c r="D104" i="26"/>
  <c r="G38" i="26"/>
  <c r="F38" i="26"/>
  <c r="E38" i="26"/>
  <c r="G24" i="26"/>
  <c r="F24" i="26"/>
  <c r="E24" i="26"/>
  <c r="G23" i="26"/>
  <c r="F23" i="26"/>
  <c r="F140" i="25"/>
  <c r="D140" i="25"/>
  <c r="C140" i="25"/>
  <c r="H117" i="25"/>
  <c r="G26" i="25" s="1"/>
  <c r="G117" i="25"/>
  <c r="G24" i="25" s="1"/>
  <c r="F117" i="25"/>
  <c r="G105" i="25"/>
  <c r="F26" i="25" s="1"/>
  <c r="E105" i="25"/>
  <c r="D105" i="25"/>
  <c r="G38" i="25"/>
  <c r="E26" i="25" s="1"/>
  <c r="F38" i="25"/>
  <c r="E24" i="25" s="1"/>
  <c r="E38" i="25"/>
  <c r="F24" i="25"/>
  <c r="G23" i="25"/>
  <c r="F23" i="25"/>
  <c r="F140" i="24"/>
  <c r="D140" i="24"/>
  <c r="C140" i="24"/>
  <c r="H117" i="24"/>
  <c r="G26" i="24" s="1"/>
  <c r="G117" i="24"/>
  <c r="G24" i="24" s="1"/>
  <c r="F117" i="24"/>
  <c r="G105" i="24"/>
  <c r="F26" i="24" s="1"/>
  <c r="E105" i="24"/>
  <c r="D105" i="24"/>
  <c r="G38" i="24"/>
  <c r="F38" i="24"/>
  <c r="E24" i="24" s="1"/>
  <c r="E38" i="24"/>
  <c r="F24" i="24"/>
  <c r="G23" i="24"/>
  <c r="F23" i="24"/>
  <c r="F144" i="23"/>
  <c r="C144" i="23"/>
  <c r="H121" i="23"/>
  <c r="G26" i="23" s="1"/>
  <c r="G121" i="23"/>
  <c r="G24" i="23" s="1"/>
  <c r="E109" i="23"/>
  <c r="D109" i="23"/>
  <c r="G38" i="23"/>
  <c r="E26" i="23" s="1"/>
  <c r="E38" i="23"/>
  <c r="F24" i="23"/>
  <c r="F23" i="23"/>
  <c r="F143" i="22"/>
  <c r="D143" i="22"/>
  <c r="C143" i="22"/>
  <c r="H120" i="22"/>
  <c r="G26" i="22" s="1"/>
  <c r="G120" i="22"/>
  <c r="G24" i="22" s="1"/>
  <c r="F120" i="22"/>
  <c r="G108" i="22"/>
  <c r="F26" i="22" s="1"/>
  <c r="E108" i="22"/>
  <c r="D108" i="22"/>
  <c r="G38" i="22"/>
  <c r="F38" i="22"/>
  <c r="E24" i="22" s="1"/>
  <c r="E38" i="22"/>
  <c r="F24" i="22"/>
  <c r="G23" i="22"/>
  <c r="F23" i="22"/>
  <c r="F144" i="21"/>
  <c r="C144" i="21"/>
  <c r="H121" i="21"/>
  <c r="G26" i="21" s="1"/>
  <c r="G109" i="21"/>
  <c r="F26" i="21" s="1"/>
  <c r="G38" i="21"/>
  <c r="E26" i="21" s="1"/>
  <c r="D26" i="21" s="1"/>
  <c r="E38" i="21"/>
  <c r="F23" i="21"/>
  <c r="F140" i="20"/>
  <c r="D140" i="20"/>
  <c r="C140" i="20"/>
  <c r="H117" i="20"/>
  <c r="G26" i="20" s="1"/>
  <c r="F117" i="20"/>
  <c r="G105" i="20"/>
  <c r="F26" i="20" s="1"/>
  <c r="D105" i="20"/>
  <c r="G38" i="20"/>
  <c r="E26" i="20" s="1"/>
  <c r="F38" i="20"/>
  <c r="E24" i="20" s="1"/>
  <c r="E38" i="20"/>
  <c r="G23" i="20"/>
  <c r="F23" i="20"/>
  <c r="C138" i="18"/>
  <c r="C140" i="18" s="1"/>
  <c r="C139" i="19"/>
  <c r="F139" i="19"/>
  <c r="D139" i="19"/>
  <c r="H116" i="19"/>
  <c r="G26" i="19" s="1"/>
  <c r="G104" i="19"/>
  <c r="F26" i="19" s="1"/>
  <c r="E38" i="19"/>
  <c r="G38" i="19"/>
  <c r="F98" i="18"/>
  <c r="F99" i="18"/>
  <c r="F101" i="18"/>
  <c r="F103" i="18"/>
  <c r="F96" i="18"/>
  <c r="F116" i="18"/>
  <c r="G115" i="18"/>
  <c r="F115" i="18"/>
  <c r="G113" i="18"/>
  <c r="F113" i="18"/>
  <c r="G112" i="18"/>
  <c r="F112" i="18"/>
  <c r="E100" i="18"/>
  <c r="F100" i="18" s="1"/>
  <c r="D100" i="18"/>
  <c r="E104" i="18"/>
  <c r="F104" i="18" s="1"/>
  <c r="D104" i="18"/>
  <c r="E102" i="18"/>
  <c r="F102" i="18" s="1"/>
  <c r="G111" i="18"/>
  <c r="F111" i="18"/>
  <c r="D103" i="18"/>
  <c r="D99" i="18"/>
  <c r="G114" i="18"/>
  <c r="F114" i="18"/>
  <c r="D139" i="18"/>
  <c r="D138" i="18"/>
  <c r="F140" i="18"/>
  <c r="D101" i="18"/>
  <c r="F37" i="18"/>
  <c r="F36" i="18"/>
  <c r="E38" i="18"/>
  <c r="G116" i="17"/>
  <c r="G142" i="32" s="1"/>
  <c r="F98" i="17"/>
  <c r="F99" i="17"/>
  <c r="F101" i="17"/>
  <c r="F96" i="17"/>
  <c r="F116" i="17"/>
  <c r="G115" i="17"/>
  <c r="F115" i="17"/>
  <c r="G112" i="17"/>
  <c r="F112" i="17"/>
  <c r="F97" i="17"/>
  <c r="E100" i="17"/>
  <c r="F100" i="17" s="1"/>
  <c r="D100" i="17"/>
  <c r="G38" i="17"/>
  <c r="D98" i="17"/>
  <c r="E104" i="17"/>
  <c r="F104" i="17" s="1"/>
  <c r="E102" i="17"/>
  <c r="F102" i="17" s="1"/>
  <c r="G111" i="17"/>
  <c r="F111" i="17"/>
  <c r="D99" i="17"/>
  <c r="D104" i="17"/>
  <c r="D139" i="17"/>
  <c r="D138" i="17"/>
  <c r="C138" i="17"/>
  <c r="C140" i="17" s="1"/>
  <c r="D101" i="17"/>
  <c r="F37" i="17"/>
  <c r="F36" i="17"/>
  <c r="E36" i="17"/>
  <c r="F140" i="17"/>
  <c r="F99" i="16"/>
  <c r="F100" i="16"/>
  <c r="F101" i="16"/>
  <c r="F102" i="16"/>
  <c r="F104" i="16"/>
  <c r="F97" i="16"/>
  <c r="F117" i="16"/>
  <c r="E117" i="16" s="1"/>
  <c r="G116" i="16"/>
  <c r="F116" i="16"/>
  <c r="G114" i="16"/>
  <c r="F114" i="16"/>
  <c r="G113" i="16"/>
  <c r="F113" i="16"/>
  <c r="F98" i="16"/>
  <c r="F23" i="16"/>
  <c r="G105" i="16"/>
  <c r="E105" i="16"/>
  <c r="E103" i="16"/>
  <c r="F103" i="16" s="1"/>
  <c r="G112" i="16"/>
  <c r="F112" i="16"/>
  <c r="E112" i="16" s="1"/>
  <c r="G115" i="16"/>
  <c r="F115" i="16"/>
  <c r="H118" i="16"/>
  <c r="G26" i="16" s="1"/>
  <c r="C140" i="16"/>
  <c r="F141" i="16"/>
  <c r="D139" i="16"/>
  <c r="C139" i="16"/>
  <c r="F37" i="16"/>
  <c r="E37" i="16"/>
  <c r="F36" i="16"/>
  <c r="F38" i="16" s="1"/>
  <c r="E36" i="16"/>
  <c r="E38" i="16"/>
  <c r="D26" i="23" l="1"/>
  <c r="E26" i="19"/>
  <c r="D26" i="19" s="1"/>
  <c r="D26" i="20"/>
  <c r="F24" i="21"/>
  <c r="D24" i="21" s="1"/>
  <c r="E26" i="24"/>
  <c r="D26" i="24" s="1"/>
  <c r="E26" i="26"/>
  <c r="D26" i="26" s="1"/>
  <c r="E26" i="28"/>
  <c r="D26" i="28" s="1"/>
  <c r="E26" i="30"/>
  <c r="D26" i="30" s="1"/>
  <c r="D26" i="31"/>
  <c r="F121" i="23"/>
  <c r="D110" i="23" s="1"/>
  <c r="G23" i="19"/>
  <c r="E26" i="17"/>
  <c r="E26" i="27"/>
  <c r="D26" i="27" s="1"/>
  <c r="D26" i="25"/>
  <c r="E26" i="22"/>
  <c r="D26" i="22" s="1"/>
  <c r="F51" i="32"/>
  <c r="D23" i="31"/>
  <c r="E23" i="28"/>
  <c r="D23" i="28" s="1"/>
  <c r="E23" i="26"/>
  <c r="G23" i="23"/>
  <c r="D144" i="23"/>
  <c r="C141" i="16"/>
  <c r="E23" i="16" s="1"/>
  <c r="F24" i="16"/>
  <c r="F105" i="16"/>
  <c r="D106" i="16"/>
  <c r="D141" i="16"/>
  <c r="G23" i="21"/>
  <c r="E109" i="21"/>
  <c r="F109" i="21" s="1"/>
  <c r="F121" i="21"/>
  <c r="D110" i="21" s="1"/>
  <c r="D144" i="21"/>
  <c r="F24" i="18"/>
  <c r="G117" i="18"/>
  <c r="G24" i="18" s="1"/>
  <c r="F97" i="18"/>
  <c r="E38" i="17"/>
  <c r="D140" i="17"/>
  <c r="E23" i="21"/>
  <c r="F108" i="21"/>
  <c r="F104" i="21"/>
  <c r="E23" i="22"/>
  <c r="D23" i="22" s="1"/>
  <c r="G109" i="22"/>
  <c r="E145" i="22" s="1"/>
  <c r="E109" i="22"/>
  <c r="F109" i="22" s="1"/>
  <c r="D109" i="22"/>
  <c r="G107" i="31"/>
  <c r="E143" i="31" s="1"/>
  <c r="D24" i="31"/>
  <c r="E107" i="31"/>
  <c r="F107" i="31" s="1"/>
  <c r="D107" i="31"/>
  <c r="E23" i="30"/>
  <c r="D23" i="30" s="1"/>
  <c r="G108" i="30"/>
  <c r="E144" i="30" s="1"/>
  <c r="E108" i="30"/>
  <c r="F108" i="30" s="1"/>
  <c r="D108" i="30"/>
  <c r="E105" i="26"/>
  <c r="F105" i="26" s="1"/>
  <c r="G105" i="26"/>
  <c r="E141" i="26" s="1"/>
  <c r="D24" i="26"/>
  <c r="D23" i="26"/>
  <c r="F104" i="26"/>
  <c r="D105" i="26"/>
  <c r="D106" i="25"/>
  <c r="E23" i="25"/>
  <c r="G106" i="25"/>
  <c r="E142" i="25" s="1"/>
  <c r="D23" i="25"/>
  <c r="E106" i="25"/>
  <c r="F106" i="25" s="1"/>
  <c r="E23" i="29"/>
  <c r="G111" i="29"/>
  <c r="E147" i="29" s="1"/>
  <c r="D23" i="29"/>
  <c r="D111" i="29"/>
  <c r="D106" i="24"/>
  <c r="E23" i="24"/>
  <c r="G106" i="24"/>
  <c r="E142" i="24" s="1"/>
  <c r="D23" i="24"/>
  <c r="E106" i="24"/>
  <c r="F106" i="24" s="1"/>
  <c r="D24" i="28"/>
  <c r="G107" i="28"/>
  <c r="E143" i="28" s="1"/>
  <c r="E107" i="28"/>
  <c r="F107" i="28" s="1"/>
  <c r="F106" i="28"/>
  <c r="D107" i="28"/>
  <c r="E23" i="27"/>
  <c r="G109" i="27"/>
  <c r="E145" i="27" s="1"/>
  <c r="D23" i="27"/>
  <c r="E109" i="27"/>
  <c r="F109" i="27" s="1"/>
  <c r="D109" i="27"/>
  <c r="E24" i="23"/>
  <c r="D24" i="23" s="1"/>
  <c r="E23" i="23"/>
  <c r="G110" i="23"/>
  <c r="E146" i="23" s="1"/>
  <c r="D23" i="23"/>
  <c r="G110" i="21"/>
  <c r="E146" i="21" s="1"/>
  <c r="D23" i="21"/>
  <c r="E105" i="20"/>
  <c r="E106" i="20" s="1"/>
  <c r="F106" i="20" s="1"/>
  <c r="F24" i="20"/>
  <c r="D24" i="20" s="1"/>
  <c r="E23" i="20"/>
  <c r="D23" i="20" s="1"/>
  <c r="G106" i="20"/>
  <c r="E142" i="20" s="1"/>
  <c r="D106" i="20"/>
  <c r="F23" i="19"/>
  <c r="F116" i="19"/>
  <c r="D104" i="19"/>
  <c r="E23" i="19"/>
  <c r="G25" i="31"/>
  <c r="F25" i="31"/>
  <c r="D24" i="30"/>
  <c r="G25" i="30"/>
  <c r="F107" i="30"/>
  <c r="F25" i="30"/>
  <c r="G25" i="29"/>
  <c r="D24" i="29"/>
  <c r="F25" i="29"/>
  <c r="E111" i="29"/>
  <c r="F111" i="29" s="1"/>
  <c r="G25" i="28"/>
  <c r="F25" i="28"/>
  <c r="D24" i="27"/>
  <c r="G25" i="27"/>
  <c r="F108" i="27"/>
  <c r="F25" i="27"/>
  <c r="G25" i="26"/>
  <c r="F25" i="26"/>
  <c r="D24" i="25"/>
  <c r="G25" i="25"/>
  <c r="F105" i="25"/>
  <c r="F25" i="25"/>
  <c r="D24" i="24"/>
  <c r="G25" i="24"/>
  <c r="F105" i="24"/>
  <c r="F25" i="24"/>
  <c r="G25" i="23"/>
  <c r="F109" i="23"/>
  <c r="F25" i="23"/>
  <c r="D24" i="22"/>
  <c r="G25" i="22"/>
  <c r="F108" i="22"/>
  <c r="F25" i="22"/>
  <c r="G25" i="21"/>
  <c r="G25" i="20"/>
  <c r="F25" i="20"/>
  <c r="G105" i="19"/>
  <c r="E141" i="19" s="1"/>
  <c r="G25" i="19"/>
  <c r="E104" i="19"/>
  <c r="F24" i="19"/>
  <c r="G38" i="18"/>
  <c r="E26" i="18" s="1"/>
  <c r="E105" i="18"/>
  <c r="F105" i="18" s="1"/>
  <c r="G105" i="18"/>
  <c r="F26" i="18" s="1"/>
  <c r="D105" i="18"/>
  <c r="H117" i="18"/>
  <c r="G26" i="18" s="1"/>
  <c r="F117" i="18"/>
  <c r="D140" i="18"/>
  <c r="F23" i="18"/>
  <c r="F38" i="18"/>
  <c r="E24" i="18" s="1"/>
  <c r="D24" i="18" s="1"/>
  <c r="E23" i="18"/>
  <c r="G25" i="18"/>
  <c r="G23" i="18"/>
  <c r="F25" i="18"/>
  <c r="H117" i="17"/>
  <c r="G26" i="17" s="1"/>
  <c r="F117" i="17"/>
  <c r="G105" i="17"/>
  <c r="E105" i="17"/>
  <c r="F105" i="17" s="1"/>
  <c r="D105" i="17"/>
  <c r="F23" i="17"/>
  <c r="G117" i="17"/>
  <c r="G24" i="17" s="1"/>
  <c r="G25" i="17" s="1"/>
  <c r="G23" i="17"/>
  <c r="F38" i="17"/>
  <c r="E24" i="17" s="1"/>
  <c r="E23" i="17"/>
  <c r="F24" i="17"/>
  <c r="G106" i="16"/>
  <c r="F26" i="16" s="1"/>
  <c r="E106" i="16"/>
  <c r="F106" i="16" s="1"/>
  <c r="F118" i="16"/>
  <c r="G118" i="16"/>
  <c r="G24" i="16" s="1"/>
  <c r="G25" i="16" s="1"/>
  <c r="E24" i="16"/>
  <c r="G23" i="16"/>
  <c r="G38" i="16"/>
  <c r="E26" i="16" s="1"/>
  <c r="D26" i="16" s="1"/>
  <c r="F25" i="16"/>
  <c r="F104" i="9"/>
  <c r="F105" i="9"/>
  <c r="F107" i="9"/>
  <c r="F109" i="9"/>
  <c r="F102" i="9"/>
  <c r="F96" i="15"/>
  <c r="F97" i="15"/>
  <c r="F99" i="15"/>
  <c r="F101" i="15"/>
  <c r="F94" i="15"/>
  <c r="D137" i="15"/>
  <c r="G113" i="15"/>
  <c r="F113" i="15"/>
  <c r="F114" i="15"/>
  <c r="E114" i="15" s="1"/>
  <c r="F25" i="21" l="1"/>
  <c r="E110" i="21"/>
  <c r="F110" i="21" s="1"/>
  <c r="D26" i="18"/>
  <c r="G106" i="17"/>
  <c r="E142" i="17" s="1"/>
  <c r="F26" i="17"/>
  <c r="D26" i="17" s="1"/>
  <c r="E110" i="23"/>
  <c r="F110" i="23" s="1"/>
  <c r="D107" i="16"/>
  <c r="D25" i="20"/>
  <c r="D23" i="19"/>
  <c r="D25" i="23"/>
  <c r="F105" i="20"/>
  <c r="D105" i="19"/>
  <c r="D25" i="31"/>
  <c r="D25" i="30"/>
  <c r="D25" i="29"/>
  <c r="D25" i="28"/>
  <c r="D25" i="27"/>
  <c r="D25" i="26"/>
  <c r="D25" i="25"/>
  <c r="D25" i="24"/>
  <c r="D25" i="22"/>
  <c r="D25" i="21"/>
  <c r="F25" i="19"/>
  <c r="D25" i="19" s="1"/>
  <c r="D24" i="19"/>
  <c r="F104" i="19"/>
  <c r="E105" i="19"/>
  <c r="F105" i="19" s="1"/>
  <c r="G106" i="18"/>
  <c r="E142" i="18" s="1"/>
  <c r="D106" i="18"/>
  <c r="E106" i="18"/>
  <c r="F106" i="18" s="1"/>
  <c r="D23" i="18"/>
  <c r="D25" i="18"/>
  <c r="D106" i="17"/>
  <c r="D23" i="17"/>
  <c r="D24" i="17"/>
  <c r="E106" i="17"/>
  <c r="F106" i="17" s="1"/>
  <c r="F25" i="17"/>
  <c r="D25" i="17" s="1"/>
  <c r="G107" i="16"/>
  <c r="E143" i="16" s="1"/>
  <c r="D23" i="16"/>
  <c r="E107" i="16"/>
  <c r="F107" i="16" s="1"/>
  <c r="D24" i="16"/>
  <c r="D25" i="16"/>
  <c r="G111" i="15"/>
  <c r="F111" i="15"/>
  <c r="G110" i="15"/>
  <c r="F110" i="15"/>
  <c r="F95" i="15"/>
  <c r="E98" i="15"/>
  <c r="F98" i="15" s="1"/>
  <c r="D98" i="15"/>
  <c r="E102" i="15"/>
  <c r="F102" i="15" s="1"/>
  <c r="E100" i="15"/>
  <c r="F100" i="15" s="1"/>
  <c r="F109" i="15"/>
  <c r="D101" i="15"/>
  <c r="G112" i="15"/>
  <c r="F112" i="15"/>
  <c r="C137" i="15"/>
  <c r="F138" i="15"/>
  <c r="D136" i="15"/>
  <c r="C136" i="15"/>
  <c r="D99" i="15"/>
  <c r="D100" i="15"/>
  <c r="F37" i="15"/>
  <c r="F36" i="15"/>
  <c r="E38" i="15"/>
  <c r="F99" i="14"/>
  <c r="F100" i="14"/>
  <c r="F101" i="14"/>
  <c r="F103" i="14"/>
  <c r="F105" i="14"/>
  <c r="F98" i="14"/>
  <c r="F118" i="14"/>
  <c r="E118" i="14" s="1"/>
  <c r="G117" i="14"/>
  <c r="F117" i="14"/>
  <c r="G115" i="14"/>
  <c r="F115" i="14"/>
  <c r="G114" i="14"/>
  <c r="F114" i="14"/>
  <c r="G38" i="14"/>
  <c r="D100" i="14"/>
  <c r="G106" i="14"/>
  <c r="E106" i="14"/>
  <c r="F106" i="14" s="1"/>
  <c r="D106" i="14"/>
  <c r="E104" i="14"/>
  <c r="F104" i="14" s="1"/>
  <c r="G113" i="14"/>
  <c r="F113" i="14"/>
  <c r="D101" i="14"/>
  <c r="G116" i="14"/>
  <c r="F116" i="14"/>
  <c r="F142" i="14"/>
  <c r="D141" i="14"/>
  <c r="D142" i="14"/>
  <c r="C140" i="14"/>
  <c r="C142" i="14" s="1"/>
  <c r="D103" i="14"/>
  <c r="F36" i="14"/>
  <c r="F37" i="14"/>
  <c r="E38" i="14"/>
  <c r="F139" i="13"/>
  <c r="D137" i="13"/>
  <c r="F115" i="13"/>
  <c r="E115" i="13" s="1"/>
  <c r="G114" i="13"/>
  <c r="F114" i="13"/>
  <c r="G112" i="13"/>
  <c r="F112" i="13"/>
  <c r="G111" i="13"/>
  <c r="F111" i="13"/>
  <c r="D104" i="13"/>
  <c r="E99" i="13"/>
  <c r="F99" i="13" s="1"/>
  <c r="F37" i="13"/>
  <c r="E103" i="13"/>
  <c r="F103" i="13" s="1"/>
  <c r="E101" i="13"/>
  <c r="G110" i="13"/>
  <c r="F110" i="13"/>
  <c r="G113" i="13"/>
  <c r="F113" i="13"/>
  <c r="F97" i="13"/>
  <c r="F98" i="13"/>
  <c r="F100" i="13"/>
  <c r="F101" i="13"/>
  <c r="F102" i="13"/>
  <c r="F95" i="13"/>
  <c r="F36" i="13"/>
  <c r="C139" i="13"/>
  <c r="D139" i="13"/>
  <c r="E38" i="13"/>
  <c r="F101" i="12"/>
  <c r="F102" i="12"/>
  <c r="F104" i="12"/>
  <c r="F106" i="12"/>
  <c r="F107" i="12"/>
  <c r="F99" i="12"/>
  <c r="F119" i="12"/>
  <c r="E119" i="12" s="1"/>
  <c r="H141" i="32"/>
  <c r="G118" i="12"/>
  <c r="F118" i="12"/>
  <c r="H139" i="32"/>
  <c r="G116" i="12"/>
  <c r="F116" i="12"/>
  <c r="G115" i="12"/>
  <c r="G107" i="12"/>
  <c r="G127" i="32"/>
  <c r="E105" i="12"/>
  <c r="H137" i="32"/>
  <c r="G114" i="12"/>
  <c r="F114" i="12"/>
  <c r="E114" i="12" s="1"/>
  <c r="D102" i="12"/>
  <c r="G117" i="12"/>
  <c r="F117" i="12"/>
  <c r="F165" i="32"/>
  <c r="F166" i="32" s="1"/>
  <c r="D142" i="12"/>
  <c r="F143" i="12"/>
  <c r="D141" i="12"/>
  <c r="F36" i="12"/>
  <c r="F37" i="12"/>
  <c r="C143" i="12"/>
  <c r="E108" i="12"/>
  <c r="E38" i="12"/>
  <c r="E23" i="12" s="1"/>
  <c r="F24" i="12"/>
  <c r="E104" i="13" l="1"/>
  <c r="E26" i="14"/>
  <c r="H143" i="32"/>
  <c r="G33" i="32" s="1"/>
  <c r="F38" i="14"/>
  <c r="C138" i="15"/>
  <c r="D103" i="15"/>
  <c r="F23" i="13"/>
  <c r="F38" i="13"/>
  <c r="E24" i="13" s="1"/>
  <c r="F24" i="13"/>
  <c r="F25" i="13" s="1"/>
  <c r="F38" i="12"/>
  <c r="E24" i="12" s="1"/>
  <c r="G108" i="12"/>
  <c r="F26" i="12" s="1"/>
  <c r="D143" i="12"/>
  <c r="E33" i="32"/>
  <c r="F105" i="12"/>
  <c r="F100" i="12"/>
  <c r="G103" i="15"/>
  <c r="F26" i="15" s="1"/>
  <c r="G38" i="15"/>
  <c r="E26" i="15" s="1"/>
  <c r="E103" i="15"/>
  <c r="F103" i="15" s="1"/>
  <c r="G115" i="15"/>
  <c r="G24" i="15" s="1"/>
  <c r="G25" i="15" s="1"/>
  <c r="F115" i="15"/>
  <c r="H115" i="15"/>
  <c r="G26" i="15" s="1"/>
  <c r="D138" i="15"/>
  <c r="G23" i="15"/>
  <c r="F23" i="15"/>
  <c r="F38" i="15"/>
  <c r="E24" i="15" s="1"/>
  <c r="E23" i="15"/>
  <c r="F24" i="15"/>
  <c r="D107" i="14"/>
  <c r="E107" i="14"/>
  <c r="F107" i="14" s="1"/>
  <c r="F23" i="14"/>
  <c r="H119" i="14"/>
  <c r="G26" i="14" s="1"/>
  <c r="G119" i="14"/>
  <c r="G24" i="14" s="1"/>
  <c r="G25" i="14" s="1"/>
  <c r="F119" i="14"/>
  <c r="E24" i="14"/>
  <c r="E23" i="14"/>
  <c r="G23" i="14"/>
  <c r="G107" i="14"/>
  <c r="F26" i="14" s="1"/>
  <c r="F24" i="14"/>
  <c r="F96" i="13"/>
  <c r="G38" i="13"/>
  <c r="E26" i="13" s="1"/>
  <c r="G104" i="13"/>
  <c r="F26" i="13" s="1"/>
  <c r="F116" i="13"/>
  <c r="D105" i="13" s="1"/>
  <c r="H116" i="13"/>
  <c r="G26" i="13" s="1"/>
  <c r="G116" i="13"/>
  <c r="G24" i="13" s="1"/>
  <c r="E23" i="13"/>
  <c r="F104" i="13"/>
  <c r="G23" i="13"/>
  <c r="H120" i="12"/>
  <c r="G26" i="12" s="1"/>
  <c r="G38" i="12"/>
  <c r="E26" i="12" s="1"/>
  <c r="D108" i="12"/>
  <c r="G120" i="12"/>
  <c r="G24" i="12" s="1"/>
  <c r="F120" i="12"/>
  <c r="G23" i="12"/>
  <c r="F23" i="12"/>
  <c r="F108" i="12"/>
  <c r="F25" i="12"/>
  <c r="F97" i="11"/>
  <c r="F98" i="11"/>
  <c r="F100" i="11"/>
  <c r="F101" i="11"/>
  <c r="F102" i="11"/>
  <c r="F95" i="11"/>
  <c r="F115" i="11"/>
  <c r="G114" i="11"/>
  <c r="F114" i="11"/>
  <c r="G112" i="11"/>
  <c r="F112" i="11"/>
  <c r="G111" i="11"/>
  <c r="F111" i="11"/>
  <c r="F96" i="11"/>
  <c r="E99" i="11"/>
  <c r="F99" i="11" s="1"/>
  <c r="D99" i="11"/>
  <c r="G38" i="11"/>
  <c r="D97" i="11"/>
  <c r="G103" i="11"/>
  <c r="E103" i="11"/>
  <c r="F103" i="11" s="1"/>
  <c r="D103" i="11"/>
  <c r="G110" i="11"/>
  <c r="F110" i="11"/>
  <c r="D102" i="11"/>
  <c r="D98" i="11"/>
  <c r="G113" i="11"/>
  <c r="F113" i="11"/>
  <c r="C138" i="11"/>
  <c r="F139" i="11"/>
  <c r="D137" i="11"/>
  <c r="C137" i="11"/>
  <c r="C139" i="11" s="1"/>
  <c r="D100" i="11"/>
  <c r="D101" i="11"/>
  <c r="D127" i="32" s="1"/>
  <c r="F37" i="11"/>
  <c r="F38" i="11"/>
  <c r="E24" i="11" s="1"/>
  <c r="F36" i="11"/>
  <c r="D139" i="11"/>
  <c r="E38" i="11"/>
  <c r="F99" i="10"/>
  <c r="F100" i="10"/>
  <c r="F102" i="10"/>
  <c r="F103" i="10"/>
  <c r="F104" i="10"/>
  <c r="F97" i="10"/>
  <c r="F117" i="10"/>
  <c r="F116" i="10"/>
  <c r="G114" i="10"/>
  <c r="F114" i="10"/>
  <c r="G113" i="10"/>
  <c r="F113" i="10"/>
  <c r="F98" i="10"/>
  <c r="D106" i="10"/>
  <c r="E101" i="10"/>
  <c r="F101" i="10" s="1"/>
  <c r="E105" i="10"/>
  <c r="F105" i="10" s="1"/>
  <c r="F112" i="10"/>
  <c r="G112" i="10"/>
  <c r="G115" i="10"/>
  <c r="F115" i="10"/>
  <c r="F141" i="10"/>
  <c r="D140" i="10"/>
  <c r="C140" i="10"/>
  <c r="D139" i="10"/>
  <c r="C139" i="10"/>
  <c r="F37" i="10"/>
  <c r="F36" i="10"/>
  <c r="E36" i="10"/>
  <c r="E43" i="32" s="1"/>
  <c r="E38" i="10"/>
  <c r="D26" i="12" l="1"/>
  <c r="E26" i="11"/>
  <c r="D26" i="14"/>
  <c r="D104" i="15"/>
  <c r="F38" i="10"/>
  <c r="D26" i="13"/>
  <c r="D141" i="10"/>
  <c r="E25" i="10" s="1"/>
  <c r="D25" i="10" s="1"/>
  <c r="C141" i="10"/>
  <c r="F23" i="10"/>
  <c r="E23" i="11"/>
  <c r="D26" i="15"/>
  <c r="D24" i="12"/>
  <c r="G104" i="15"/>
  <c r="E140" i="15" s="1"/>
  <c r="D23" i="15"/>
  <c r="E104" i="15"/>
  <c r="F104" i="15" s="1"/>
  <c r="F25" i="15"/>
  <c r="D25" i="15" s="1"/>
  <c r="D24" i="15"/>
  <c r="D108" i="14"/>
  <c r="G108" i="14"/>
  <c r="E144" i="14" s="1"/>
  <c r="D23" i="14"/>
  <c r="E108" i="14"/>
  <c r="F108" i="14" s="1"/>
  <c r="F25" i="14"/>
  <c r="D25" i="14" s="1"/>
  <c r="D24" i="14"/>
  <c r="D24" i="13"/>
  <c r="G105" i="13"/>
  <c r="E141" i="13" s="1"/>
  <c r="G25" i="13"/>
  <c r="E105" i="13"/>
  <c r="F105" i="13" s="1"/>
  <c r="D23" i="13"/>
  <c r="G109" i="12"/>
  <c r="E145" i="12" s="1"/>
  <c r="D109" i="12"/>
  <c r="E109" i="12"/>
  <c r="F109" i="12" s="1"/>
  <c r="G25" i="12"/>
  <c r="D23" i="12"/>
  <c r="E104" i="11"/>
  <c r="F104" i="11" s="1"/>
  <c r="G104" i="11"/>
  <c r="F26" i="11" s="1"/>
  <c r="F116" i="11"/>
  <c r="H116" i="11"/>
  <c r="G26" i="11" s="1"/>
  <c r="G116" i="11"/>
  <c r="G24" i="11" s="1"/>
  <c r="G23" i="11"/>
  <c r="D104" i="11"/>
  <c r="D105" i="11" s="1"/>
  <c r="F24" i="11"/>
  <c r="F23" i="11"/>
  <c r="E106" i="10"/>
  <c r="F106" i="10" s="1"/>
  <c r="G106" i="10"/>
  <c r="F26" i="10" s="1"/>
  <c r="F24" i="10"/>
  <c r="G38" i="10"/>
  <c r="E26" i="10" s="1"/>
  <c r="G23" i="10"/>
  <c r="H118" i="10"/>
  <c r="G26" i="10" s="1"/>
  <c r="G118" i="10"/>
  <c r="G24" i="10" s="1"/>
  <c r="E24" i="10"/>
  <c r="E23" i="10"/>
  <c r="F118" i="10"/>
  <c r="D107" i="10" s="1"/>
  <c r="D23" i="10" l="1"/>
  <c r="D26" i="11"/>
  <c r="D26" i="10"/>
  <c r="F25" i="11"/>
  <c r="G25" i="11"/>
  <c r="G105" i="11"/>
  <c r="E141" i="11" s="1"/>
  <c r="G107" i="10"/>
  <c r="E143" i="10" s="1"/>
  <c r="D25" i="13"/>
  <c r="D25" i="12"/>
  <c r="D24" i="11"/>
  <c r="E105" i="11"/>
  <c r="F105" i="11" s="1"/>
  <c r="D23" i="11"/>
  <c r="D24" i="10"/>
  <c r="E107" i="10"/>
  <c r="F107" i="10" s="1"/>
  <c r="D25" i="11" l="1"/>
  <c r="F122" i="9"/>
  <c r="F121" i="9"/>
  <c r="G119" i="9"/>
  <c r="F119" i="9"/>
  <c r="G118" i="9"/>
  <c r="F118" i="9"/>
  <c r="F103" i="9"/>
  <c r="E106" i="9"/>
  <c r="F106" i="9" s="1"/>
  <c r="D106" i="9"/>
  <c r="D104" i="9"/>
  <c r="G110" i="9"/>
  <c r="E110" i="9"/>
  <c r="F110" i="9" s="1"/>
  <c r="E108" i="9"/>
  <c r="E111" i="9" s="1"/>
  <c r="G117" i="9"/>
  <c r="F117" i="9"/>
  <c r="D105" i="9"/>
  <c r="G120" i="9"/>
  <c r="F120" i="9"/>
  <c r="D107" i="9"/>
  <c r="F36" i="9"/>
  <c r="F37" i="9"/>
  <c r="E25" i="9"/>
  <c r="H123" i="9"/>
  <c r="G26" i="9" s="1"/>
  <c r="G111" i="9"/>
  <c r="F26" i="9" s="1"/>
  <c r="G38" i="9"/>
  <c r="E26" i="9" s="1"/>
  <c r="E38" i="9"/>
  <c r="F24" i="9" l="1"/>
  <c r="F25" i="9" s="1"/>
  <c r="D26" i="9"/>
  <c r="D111" i="9"/>
  <c r="G123" i="9"/>
  <c r="G24" i="9" s="1"/>
  <c r="F38" i="9"/>
  <c r="E24" i="9" s="1"/>
  <c r="D24" i="9" s="1"/>
  <c r="F123" i="9"/>
  <c r="F23" i="9"/>
  <c r="F108" i="9"/>
  <c r="G25" i="9"/>
  <c r="D25" i="9" s="1"/>
  <c r="G23" i="9"/>
  <c r="D112" i="9"/>
  <c r="E23" i="9"/>
  <c r="G112" i="9"/>
  <c r="E148" i="9" s="1"/>
  <c r="E112" i="9"/>
  <c r="F112" i="9" s="1"/>
  <c r="F111" i="9"/>
  <c r="G105" i="8"/>
  <c r="E105" i="8"/>
  <c r="F38" i="8"/>
  <c r="E24" i="8" s="1"/>
  <c r="G38" i="8"/>
  <c r="G116" i="8"/>
  <c r="F116" i="8"/>
  <c r="G114" i="8"/>
  <c r="F114" i="8"/>
  <c r="G113" i="8"/>
  <c r="F113" i="8"/>
  <c r="E101" i="8"/>
  <c r="D101" i="8"/>
  <c r="D99" i="8"/>
  <c r="D105" i="8"/>
  <c r="D129" i="32" s="1"/>
  <c r="G112" i="8"/>
  <c r="G118" i="8" s="1"/>
  <c r="G24" i="8" s="1"/>
  <c r="F112" i="8"/>
  <c r="D104" i="8"/>
  <c r="C140" i="8"/>
  <c r="C141" i="8" s="1"/>
  <c r="F115" i="8"/>
  <c r="D102" i="8"/>
  <c r="G106" i="8"/>
  <c r="F26" i="8" s="1"/>
  <c r="F98" i="8"/>
  <c r="F99" i="8"/>
  <c r="F100" i="8"/>
  <c r="F101" i="8"/>
  <c r="F102" i="8"/>
  <c r="F103" i="8"/>
  <c r="F97" i="8"/>
  <c r="F141" i="8"/>
  <c r="D141" i="8"/>
  <c r="H118" i="8"/>
  <c r="G26" i="8" s="1"/>
  <c r="F105" i="8"/>
  <c r="F104" i="8"/>
  <c r="E38" i="8"/>
  <c r="F96" i="7"/>
  <c r="F115" i="7"/>
  <c r="G115" i="7"/>
  <c r="F113" i="7"/>
  <c r="G113" i="7"/>
  <c r="H117" i="7"/>
  <c r="G26" i="7" s="1"/>
  <c r="G112" i="7"/>
  <c r="F112" i="7"/>
  <c r="G105" i="7"/>
  <c r="F26" i="7" s="1"/>
  <c r="E100" i="7"/>
  <c r="D100" i="7"/>
  <c r="D98" i="7"/>
  <c r="D123" i="32" s="1"/>
  <c r="G38" i="7"/>
  <c r="E26" i="7" s="1"/>
  <c r="F38" i="7"/>
  <c r="E24" i="7" s="1"/>
  <c r="E38" i="7"/>
  <c r="F111" i="7"/>
  <c r="E111" i="7" s="1"/>
  <c r="C138" i="7"/>
  <c r="G114" i="7"/>
  <c r="F114" i="7"/>
  <c r="F98" i="7"/>
  <c r="F99" i="7"/>
  <c r="F100" i="7"/>
  <c r="F102" i="7"/>
  <c r="F103" i="7"/>
  <c r="F104" i="7"/>
  <c r="E101" i="7"/>
  <c r="E105" i="7" s="1"/>
  <c r="F105" i="7" s="1"/>
  <c r="D101" i="7"/>
  <c r="E12" i="7"/>
  <c r="E11" i="32" s="1"/>
  <c r="G117" i="7"/>
  <c r="G24" i="7" s="1"/>
  <c r="G25" i="7" s="1"/>
  <c r="D140" i="7"/>
  <c r="F140" i="7"/>
  <c r="G115" i="6"/>
  <c r="F115" i="6"/>
  <c r="F113" i="6"/>
  <c r="G113" i="6"/>
  <c r="H117" i="6"/>
  <c r="G26" i="6" s="1"/>
  <c r="G112" i="6"/>
  <c r="F112" i="6"/>
  <c r="E100" i="6"/>
  <c r="F100" i="6" s="1"/>
  <c r="D100" i="6"/>
  <c r="D105" i="6" s="1"/>
  <c r="G38" i="6"/>
  <c r="G104" i="6"/>
  <c r="F111" i="6"/>
  <c r="G114" i="6"/>
  <c r="F114" i="6"/>
  <c r="F38" i="6"/>
  <c r="E24" i="6" s="1"/>
  <c r="E38" i="6"/>
  <c r="F96" i="6"/>
  <c r="F97" i="6"/>
  <c r="F98" i="6"/>
  <c r="F99" i="6"/>
  <c r="F101" i="6"/>
  <c r="F102" i="6"/>
  <c r="F103" i="6"/>
  <c r="F104" i="6"/>
  <c r="C140" i="6"/>
  <c r="D140" i="6"/>
  <c r="F140" i="6"/>
  <c r="F118" i="5"/>
  <c r="E118" i="5" s="1"/>
  <c r="G117" i="5"/>
  <c r="F117" i="5"/>
  <c r="G115" i="5"/>
  <c r="F115" i="5"/>
  <c r="H119" i="5"/>
  <c r="G26" i="5" s="1"/>
  <c r="G114" i="5"/>
  <c r="F114" i="5"/>
  <c r="E106" i="5"/>
  <c r="G107" i="5"/>
  <c r="F26" i="5" s="1"/>
  <c r="F106" i="5"/>
  <c r="E104" i="5"/>
  <c r="F104" i="5" s="1"/>
  <c r="G113" i="5"/>
  <c r="F113" i="5"/>
  <c r="D105" i="5"/>
  <c r="D101" i="5"/>
  <c r="D124" i="32" s="1"/>
  <c r="G116" i="5"/>
  <c r="F116" i="5"/>
  <c r="D141" i="5"/>
  <c r="C141" i="5"/>
  <c r="D140" i="5"/>
  <c r="D164" i="32" s="1"/>
  <c r="C140" i="5"/>
  <c r="D103" i="5"/>
  <c r="D107" i="5" s="1"/>
  <c r="F37" i="5"/>
  <c r="F44" i="32" s="1"/>
  <c r="E37" i="5"/>
  <c r="F36" i="5"/>
  <c r="F38" i="5" s="1"/>
  <c r="F142" i="5"/>
  <c r="C142" i="5"/>
  <c r="F105" i="5"/>
  <c r="F103" i="5"/>
  <c r="F102" i="5"/>
  <c r="F101" i="5"/>
  <c r="F100" i="5"/>
  <c r="F123" i="32" s="1"/>
  <c r="F99" i="5"/>
  <c r="F98" i="5"/>
  <c r="F121" i="32" s="1"/>
  <c r="G38" i="5"/>
  <c r="F23" i="5"/>
  <c r="E26" i="5" l="1"/>
  <c r="D26" i="5" s="1"/>
  <c r="F122" i="32"/>
  <c r="F124" i="32"/>
  <c r="E24" i="5"/>
  <c r="D24" i="5" s="1"/>
  <c r="F23" i="7"/>
  <c r="D23" i="9"/>
  <c r="F24" i="7"/>
  <c r="F25" i="7" s="1"/>
  <c r="D26" i="7"/>
  <c r="E26" i="8"/>
  <c r="D26" i="8" s="1"/>
  <c r="G117" i="6"/>
  <c r="G24" i="6" s="1"/>
  <c r="G25" i="6" s="1"/>
  <c r="E26" i="6"/>
  <c r="E44" i="32"/>
  <c r="E45" i="32" s="1"/>
  <c r="E23" i="5"/>
  <c r="E38" i="5"/>
  <c r="F119" i="5"/>
  <c r="C164" i="32"/>
  <c r="C165" i="32"/>
  <c r="E129" i="32"/>
  <c r="F142" i="32"/>
  <c r="E127" i="32"/>
  <c r="D165" i="32"/>
  <c r="D166" i="32" s="1"/>
  <c r="F43" i="32"/>
  <c r="F45" i="32" s="1"/>
  <c r="D142" i="5"/>
  <c r="G119" i="5"/>
  <c r="G24" i="5" s="1"/>
  <c r="F24" i="5"/>
  <c r="E107" i="5"/>
  <c r="E108" i="5" s="1"/>
  <c r="F108" i="5" s="1"/>
  <c r="D128" i="32"/>
  <c r="G137" i="32"/>
  <c r="E142" i="32"/>
  <c r="E23" i="6"/>
  <c r="F23" i="6"/>
  <c r="G140" i="32"/>
  <c r="E25" i="6"/>
  <c r="G23" i="6"/>
  <c r="E111" i="6"/>
  <c r="F24" i="6"/>
  <c r="F25" i="6" s="1"/>
  <c r="G129" i="32"/>
  <c r="G131" i="32" s="1"/>
  <c r="E25" i="7"/>
  <c r="D25" i="7" s="1"/>
  <c r="D105" i="7"/>
  <c r="G23" i="7"/>
  <c r="F129" i="32"/>
  <c r="D126" i="32"/>
  <c r="D125" i="32"/>
  <c r="F138" i="32"/>
  <c r="F117" i="7"/>
  <c r="C140" i="7"/>
  <c r="E23" i="7" s="1"/>
  <c r="D23" i="7" s="1"/>
  <c r="F97" i="7"/>
  <c r="F101" i="7"/>
  <c r="F126" i="32" s="1"/>
  <c r="E126" i="32"/>
  <c r="F128" i="32"/>
  <c r="F127" i="32"/>
  <c r="F125" i="32"/>
  <c r="E125" i="32"/>
  <c r="G138" i="32"/>
  <c r="G139" i="32"/>
  <c r="G141" i="32"/>
  <c r="G25" i="8"/>
  <c r="F118" i="8"/>
  <c r="E140" i="32"/>
  <c r="F140" i="32"/>
  <c r="F23" i="8"/>
  <c r="E23" i="8"/>
  <c r="E25" i="8"/>
  <c r="E137" i="32"/>
  <c r="F137" i="32"/>
  <c r="E139" i="32"/>
  <c r="F139" i="32"/>
  <c r="E141" i="32"/>
  <c r="F141" i="32"/>
  <c r="F24" i="8"/>
  <c r="D24" i="8" s="1"/>
  <c r="G23" i="8"/>
  <c r="G107" i="8"/>
  <c r="E143" i="8" s="1"/>
  <c r="G108" i="5"/>
  <c r="D24" i="6"/>
  <c r="E144" i="5"/>
  <c r="D106" i="8"/>
  <c r="D107" i="8" s="1"/>
  <c r="E106" i="8"/>
  <c r="D23" i="6"/>
  <c r="D24" i="7"/>
  <c r="G106" i="7"/>
  <c r="E142" i="7" s="1"/>
  <c r="G23" i="5"/>
  <c r="D23" i="5" s="1"/>
  <c r="F117" i="6"/>
  <c r="D106" i="6" s="1"/>
  <c r="G105" i="6"/>
  <c r="E106" i="7"/>
  <c r="F106" i="7" s="1"/>
  <c r="E105" i="6"/>
  <c r="D106" i="7" l="1"/>
  <c r="G106" i="6"/>
  <c r="E142" i="6" s="1"/>
  <c r="F26" i="6"/>
  <c r="D26" i="6" s="1"/>
  <c r="G132" i="32"/>
  <c r="E168" i="32" s="1"/>
  <c r="F33" i="32"/>
  <c r="D33" i="32" s="1"/>
  <c r="E31" i="32"/>
  <c r="C166" i="32"/>
  <c r="E30" i="32" s="1"/>
  <c r="D108" i="5"/>
  <c r="G25" i="5"/>
  <c r="E25" i="5"/>
  <c r="E32" i="32" s="1"/>
  <c r="F107" i="5"/>
  <c r="F25" i="5"/>
  <c r="F31" i="32"/>
  <c r="D131" i="32"/>
  <c r="F30" i="32" s="1"/>
  <c r="D25" i="6"/>
  <c r="G143" i="32"/>
  <c r="G31" i="32" s="1"/>
  <c r="G32" i="32" s="1"/>
  <c r="E131" i="32"/>
  <c r="F131" i="32" s="1"/>
  <c r="D23" i="8"/>
  <c r="G30" i="32"/>
  <c r="F143" i="32"/>
  <c r="F25" i="8"/>
  <c r="F32" i="32"/>
  <c r="F106" i="8"/>
  <c r="E107" i="8"/>
  <c r="F107" i="8" s="1"/>
  <c r="E106" i="6"/>
  <c r="F106" i="6" s="1"/>
  <c r="F105" i="6"/>
  <c r="D32" i="32" l="1"/>
  <c r="D30" i="32"/>
  <c r="D132" i="32"/>
  <c r="D25" i="5"/>
  <c r="D31" i="32"/>
  <c r="E132" i="32"/>
  <c r="F132" i="32" s="1"/>
  <c r="D25" i="8"/>
</calcChain>
</file>

<file path=xl/sharedStrings.xml><?xml version="1.0" encoding="utf-8"?>
<sst xmlns="http://schemas.openxmlformats.org/spreadsheetml/2006/main" count="7724" uniqueCount="601">
  <si>
    <t>Уважаемые жители!</t>
  </si>
  <si>
    <t>Направляем Вам отчет по выполнению работ и оказанию жилищно-коммунальных услуг за 2014 год</t>
  </si>
  <si>
    <t>Отчет о выполнениии работ по содержанию и ремонту общего имущества, предоставлению коммунальных услуг</t>
  </si>
  <si>
    <t>Адрес</t>
  </si>
  <si>
    <t>Общая площадь дома, кв.м</t>
  </si>
  <si>
    <t>2.1.</t>
  </si>
  <si>
    <t xml:space="preserve"> в т.ч. жилые помещения</t>
  </si>
  <si>
    <t>2.2.</t>
  </si>
  <si>
    <t xml:space="preserve">          нежилые помещения</t>
  </si>
  <si>
    <t>2.3.</t>
  </si>
  <si>
    <t>Площадь помещений, входящих в состав общего имущества</t>
  </si>
  <si>
    <t>Уровень благоустройства</t>
  </si>
  <si>
    <t>Серия и тип постройки</t>
  </si>
  <si>
    <t>Количество квартир</t>
  </si>
  <si>
    <t>Количество подъездов</t>
  </si>
  <si>
    <t>Численность проживающих</t>
  </si>
  <si>
    <t>Движение денежных средств за 2014 год</t>
  </si>
  <si>
    <t>Всего по жилищно-коммунальным услугам</t>
  </si>
  <si>
    <t xml:space="preserve">  в том числе</t>
  </si>
  <si>
    <t>Коммунальные услуги             (горячая вода, холодная вода, стоки, отопление, эл. энергия)</t>
  </si>
  <si>
    <t>Жилищные услуги  (текущий ремонт, содержание домохозяйства, капитальный ремонт, управление ж/ф)</t>
  </si>
  <si>
    <t>Прочие ,      при наличии услуги            (ТБО, лифты, домофоны, радио,антенна, ППА, дератизация, тех. обслуживание внутридомовых  электросетей)</t>
  </si>
  <si>
    <t>Долг  населения на 1 января 2014 г.</t>
  </si>
  <si>
    <t>Начислено к оплате  населению за год</t>
  </si>
  <si>
    <t>Оплачено населением за год</t>
  </si>
  <si>
    <t>Затрачено</t>
  </si>
  <si>
    <t>Остаток ( - долг, + переплата)</t>
  </si>
  <si>
    <t>ДОХОДЫ</t>
  </si>
  <si>
    <t>Жилищные услуги</t>
  </si>
  <si>
    <t>Наименование услуги</t>
  </si>
  <si>
    <t>Начислено</t>
  </si>
  <si>
    <t>Оплачено</t>
  </si>
  <si>
    <t>Задолженность населения на 01.01.2015 года</t>
  </si>
  <si>
    <t>Уборка мест общего пользования</t>
  </si>
  <si>
    <t>Уборка придомовой территории</t>
  </si>
  <si>
    <t>Обслуживание мусоропроводов</t>
  </si>
  <si>
    <t>Вывоз крупногабаритного мусора</t>
  </si>
  <si>
    <t>Т/обслуживание и текущий ремонт зданий</t>
  </si>
  <si>
    <t>Т/обслуживание и текущий ремонт внутридомовых сетей отопления</t>
  </si>
  <si>
    <t>Т/обслуживание и текущий ремонт внутридомовых сетей водоснабжения и водоотведения</t>
  </si>
  <si>
    <t xml:space="preserve">ИТОГО </t>
  </si>
  <si>
    <t xml:space="preserve">Отчет о расходах на по выполнение работ по санитарному содержанию и текущему ремонту </t>
  </si>
  <si>
    <t>Показатели</t>
  </si>
  <si>
    <t>сроки выполнения</t>
  </si>
  <si>
    <t>План (физ. Объем)</t>
  </si>
  <si>
    <t>План (руб.)</t>
  </si>
  <si>
    <t>Факт (физ.объем)</t>
  </si>
  <si>
    <t>Факт (руб.)</t>
  </si>
  <si>
    <t>Санитарное содержание</t>
  </si>
  <si>
    <t>Уборка территории</t>
  </si>
  <si>
    <t>Система отопления</t>
  </si>
  <si>
    <t>Общий осмотр системы центрального отопления с целью выявления дефектов и планирования ремонта</t>
  </si>
  <si>
    <t>Осмотр системы отопления в отопительный период, устранение мелких дефектов и неисправностей</t>
  </si>
  <si>
    <t>Частичные осмотры системы отопления вне отопительного периода, устранение мелких дефектов и неисправностей</t>
  </si>
  <si>
    <t>Ревизия систем отопления мест общего пользования и в подвалах (устранение неисправностей, замена изношенных участков трубопроводов, покраска,ремонт теплоизоляции, разборка, осмотр и очистка грязевиков, вентилей, задвижек, очистка от накипи запорной арматуры</t>
  </si>
  <si>
    <t>Замена труб отопления</t>
  </si>
  <si>
    <t>Т/о и ремонт узлов учета тепловой энергии</t>
  </si>
  <si>
    <t>Подготовка актов  готовности к отопительному периоду</t>
  </si>
  <si>
    <t>Подготовка паспортов  готовности к отопительному периоду</t>
  </si>
  <si>
    <t>Система водоснабжения и канализации</t>
  </si>
  <si>
    <t>Общий осмотр системы водоснабжения и канализации с целью выявления дефектов и планирования ремонта</t>
  </si>
  <si>
    <t>Частичные осмотры системы водоснабжения, канализации,устранение мелких дефектов и неисправностей</t>
  </si>
  <si>
    <t>Ревизия системы горячего и холодного водоснабжения, канализации мест общего пользования и в подвалах (устранение неисправностей, замена изношенных участков трубопроводов, восстановление изоляции, очистка вентилей, задвижек, покраска труб, очистка подвалов и т.п.)</t>
  </si>
  <si>
    <t>Планово-предупредительный ремонт в квартирах</t>
  </si>
  <si>
    <t>Аварийно-диспетчерское обслуживание</t>
  </si>
  <si>
    <t>Текущий ремонт зданий</t>
  </si>
  <si>
    <t>Общий осмотр строительных конструкций жилых домов с целью выявления дефектов и планирования ремонта</t>
  </si>
  <si>
    <t>Герметизация подъездов (ремонт и утепление входных, подвальных, чердачных дверей, выходов на кровлю, ремонт оконных рам, установка пружин, доводчиков, проверка состояния продухов, проверка изоляции трубопроводов отопления и водоснабжения)</t>
  </si>
  <si>
    <t>ППР кровли</t>
  </si>
  <si>
    <t>Герметизация м/панельных швов</t>
  </si>
  <si>
    <t>Благоустройство</t>
  </si>
  <si>
    <t>Заготовка песка</t>
  </si>
  <si>
    <t>Содержание трактора</t>
  </si>
  <si>
    <t>Итого по жилищным услугам</t>
  </si>
  <si>
    <t>Доходы от использования общего имущества, руб.</t>
  </si>
  <si>
    <t>в том числе:</t>
  </si>
  <si>
    <t>реклама в лифтах</t>
  </si>
  <si>
    <t>остаток средств за 2013 год</t>
  </si>
  <si>
    <t>Расходы</t>
  </si>
  <si>
    <t>бачки под ТБО</t>
  </si>
  <si>
    <t>Остаток средств  на 01.01.2015</t>
  </si>
  <si>
    <t>Прочие  услуги по содержанию и ремонту общего имущества</t>
  </si>
  <si>
    <t>Перечислено поставщикам услуг</t>
  </si>
  <si>
    <t>Управление жилфондом</t>
  </si>
  <si>
    <t>Вывоз ТБО</t>
  </si>
  <si>
    <t>Т/обслуживание и текущий ремонт внутридомовых сетей электроснабжения</t>
  </si>
  <si>
    <t>Т/обслуживание и текущий ремонт внутридомовых сетей газоснабжения</t>
  </si>
  <si>
    <t>Т/обслуживание и текущий ремонт лифтов</t>
  </si>
  <si>
    <t>Дератизация</t>
  </si>
  <si>
    <t>Обслуживание домофонов</t>
  </si>
  <si>
    <t>Всего по прочим</t>
  </si>
  <si>
    <t>Итого по жилищно-коммунальным услугам</t>
  </si>
  <si>
    <t>Коммунальные услуги</t>
  </si>
  <si>
    <t>Тариф</t>
  </si>
  <si>
    <t>Объем потребления услуг по дому</t>
  </si>
  <si>
    <t xml:space="preserve">Задолженность населения на 01.01.2015 </t>
  </si>
  <si>
    <t>с 01.01.2014</t>
  </si>
  <si>
    <t>с 01.07.2014</t>
  </si>
  <si>
    <t>Отопление, Гкал</t>
  </si>
  <si>
    <t>Холодное водоснабжение, куб.м</t>
  </si>
  <si>
    <t>Водоотведение, куб.м</t>
  </si>
  <si>
    <t>Электроснабжение, квт.час</t>
  </si>
  <si>
    <t>Электроснабжение ночное, квт.час</t>
  </si>
  <si>
    <t>ИТОГО</t>
  </si>
  <si>
    <t>Перечислено в НО "Фонд ЖКХ РТ"</t>
  </si>
  <si>
    <t>Капитальный ремонт</t>
  </si>
  <si>
    <t>Наем</t>
  </si>
  <si>
    <t>Всего платежей за 2014 год</t>
  </si>
  <si>
    <t>Долг населения за ЖКУ на 01.01.2015 года, руб.</t>
  </si>
  <si>
    <t>Расходы на капитальный ремонт в 2014 году</t>
  </si>
  <si>
    <t>Замена систем теплоснабжения</t>
  </si>
  <si>
    <t>Замена систем ХВС</t>
  </si>
  <si>
    <t>Замена систем ГВС</t>
  </si>
  <si>
    <t>и т.д.</t>
  </si>
  <si>
    <t>Остаток средств капитального ремонта на 01.01.2015 года</t>
  </si>
  <si>
    <t xml:space="preserve">Информация о случаях привлечения управляющей организации к административной ответственности за нарушения в сфере управления многоквартирным домом </t>
  </si>
  <si>
    <t xml:space="preserve">Принятые меры </t>
  </si>
  <si>
    <t>Проверяющий орган</t>
  </si>
  <si>
    <t>Кол-во нарушений</t>
  </si>
  <si>
    <t>Сумма штрафа, тыс.руб.</t>
  </si>
  <si>
    <t>Юр. лицо</t>
  </si>
  <si>
    <t>Физ. лицо</t>
  </si>
  <si>
    <t>40/11, под.1</t>
  </si>
  <si>
    <t>Пертензионная служба</t>
  </si>
  <si>
    <t>51-89-49</t>
  </si>
  <si>
    <t>ООО "40 комплекс" (диспетчерская)</t>
  </si>
  <si>
    <t>58-81-46</t>
  </si>
  <si>
    <t>Директор ООО "40 комплекс" Зайнуллина Ляйсан Разуловна</t>
  </si>
  <si>
    <t>51-49-13</t>
  </si>
  <si>
    <t>Пейждер фирмы "Радиоком", абонент "Ремонт" (для заявок)</t>
  </si>
  <si>
    <t>51-51-40</t>
  </si>
  <si>
    <t>ООО "Городской расчетный центр" (для передачи показаний счетчиков"</t>
  </si>
  <si>
    <t>58-86-26             51-80-26</t>
  </si>
  <si>
    <t>39/10, 4 под.</t>
  </si>
  <si>
    <t>Адрес сайта ООО УК "Махалля"</t>
  </si>
  <si>
    <t>mahallya.ru</t>
  </si>
  <si>
    <t>Адрес сайта ООО "Городской расчетный центр" (для передачи показаний счетчиков)</t>
  </si>
  <si>
    <t>grc-chelny.ru</t>
  </si>
  <si>
    <t>Председатель Совета МКД     40/15                                           Ибатуллина Назия Мардановна</t>
  </si>
  <si>
    <t>34-33-68</t>
  </si>
  <si>
    <t>собственникам дома по адресу:пр.Московский,д.133 (2/01)</t>
  </si>
  <si>
    <t>собственникам дома по адресу:пр.Московский,д.139 (2/02)</t>
  </si>
  <si>
    <t>пр.Московский д.139</t>
  </si>
  <si>
    <t>удовлетворительное</t>
  </si>
  <si>
    <t xml:space="preserve">БНЧ </t>
  </si>
  <si>
    <t>2,88/3,13</t>
  </si>
  <si>
    <t>2,99/3,25</t>
  </si>
  <si>
    <t>Горячее водоснабжение, куб.м/хим.очищ. вода</t>
  </si>
  <si>
    <t>собственникам дома по адресу:ул.Академика Рубаненко,д.5 (3/12)</t>
  </si>
  <si>
    <t>ул.Ак.Рубаненко,д.5</t>
  </si>
  <si>
    <t>Анетнна,радио</t>
  </si>
  <si>
    <t>ул.Ак.Рубаненко,д.14</t>
  </si>
  <si>
    <t>собственникам дома по адресу:ул.Академика Рубаненко,д.14 1\17)</t>
  </si>
  <si>
    <t>собственникам дома по адресу:пр.Вахитова дом 15 (1/14)</t>
  </si>
  <si>
    <t>пр.Вахитова,д.15</t>
  </si>
  <si>
    <t>1-447-С 54 НЧ-1</t>
  </si>
  <si>
    <t>собственникам дома по адресу:пр.Вахитова дом 17 (1/13)</t>
  </si>
  <si>
    <t>пр.Вахитова,д.17</t>
  </si>
  <si>
    <t>собственникам дома по адресу:пр.Мира д.52/16 (3/01)</t>
  </si>
  <si>
    <t>пр.Мира,д.52/16</t>
  </si>
  <si>
    <t>С 83</t>
  </si>
  <si>
    <t>пр.Мира,д.56</t>
  </si>
  <si>
    <t>2-1831</t>
  </si>
  <si>
    <t>собственникам дома по адресу:пр.Мира д.56 (3/15)</t>
  </si>
  <si>
    <t>собственникам дома по адресу:пр.Мира д.58 (3/14)</t>
  </si>
  <si>
    <t>пр.Мира,д.58</t>
  </si>
  <si>
    <t>С-83</t>
  </si>
  <si>
    <t>Ремонт кровли</t>
  </si>
  <si>
    <t>собственникам дома по адресу:пр.Мира д.60 (3/19)</t>
  </si>
  <si>
    <t>пр.Мира,д.60</t>
  </si>
  <si>
    <t>БНЧ</t>
  </si>
  <si>
    <t>пр.Московский,д.133</t>
  </si>
  <si>
    <t>собственникам дома по адресу:пр.Московский,д.135 (2/08)</t>
  </si>
  <si>
    <t>пр.Московский,д.135</t>
  </si>
  <si>
    <t>удовлетворительная</t>
  </si>
  <si>
    <t>1-447-С 54 НЧ -1</t>
  </si>
  <si>
    <t>Коммунальные услуги за период с 01.09.2014г. по 31.12.2014г.</t>
  </si>
  <si>
    <t>Прочие  услуги по содержанию и ремонту общего имущества за период с 01.09.2014г. по 31.12.2014г.</t>
  </si>
  <si>
    <t>Всего платежей  за период с 01.09.2014г. по 31.12.2014г.</t>
  </si>
  <si>
    <t>Жилищные услуги за период с 01.01.2014г. по 31.12.2014г.</t>
  </si>
  <si>
    <t>собственникам дома по адресу:пр.Московский д.141(2/09)</t>
  </si>
  <si>
    <t>пр.Московский,д.141</t>
  </si>
  <si>
    <t>собственникам дома по адресу:пр.Московский д.143(2/03)</t>
  </si>
  <si>
    <t>пр.Московский,д.143</t>
  </si>
  <si>
    <t>собственникам дома по адресу:пр.Московский д.147 (2/04)</t>
  </si>
  <si>
    <t>пр.Московский,д.147</t>
  </si>
  <si>
    <t>собственникам дома по адресу:пр.Московский д.149 (2/05)</t>
  </si>
  <si>
    <t>пр.Московский,д.149</t>
  </si>
  <si>
    <t>собственникам дома по адресу:пр.Московский д.151 (2/06)</t>
  </si>
  <si>
    <t>пр.Московский,д.151</t>
  </si>
  <si>
    <t>собственникам дома по адресу:пр.Хасана Туфана д.8 (2/07)</t>
  </si>
  <si>
    <t>пр.Хасана Туфана,д.8</t>
  </si>
  <si>
    <t>собственникам дома по адресу:ул.Академика Рубаненко д.1 (2/10)</t>
  </si>
  <si>
    <t>ул.Академика Рубаненко,д.1</t>
  </si>
  <si>
    <t>собственникам дома по адресу: пр.Хасана Туфана д.10 (2/11)</t>
  </si>
  <si>
    <t>ул.Хасана Туфана,д.10</t>
  </si>
  <si>
    <t>собственникам дома по адресу: б.Энтузиастов д.6 (2/17)</t>
  </si>
  <si>
    <t>б.Энтузиастов,д.6</t>
  </si>
  <si>
    <t>1-ЛГ-60</t>
  </si>
  <si>
    <t>собственникам дома по адресу: б.Энтузиастов д.8 (2/20)</t>
  </si>
  <si>
    <t>б.Энтузиастов,д.8</t>
  </si>
  <si>
    <t>собственникам дома по адресу: б.Энтузиастов д.10 (2/21)</t>
  </si>
  <si>
    <t>б.Энтузиастов,д.10</t>
  </si>
  <si>
    <t>собственникам дома по адресу: б.Энтузиастов д.1 (3/03)</t>
  </si>
  <si>
    <t>б.Энтузиастов,д.1</t>
  </si>
  <si>
    <t>собственникам дома по адресу: б.Энтузиастов д.5 (3/05)</t>
  </si>
  <si>
    <t>б.Энтузиастов,д.5</t>
  </si>
  <si>
    <t>И209а</t>
  </si>
  <si>
    <t>собственникам дома по адресу: б.Энтузиастов д.7 (3/06)</t>
  </si>
  <si>
    <t>б.Энтузиастов,д.7</t>
  </si>
  <si>
    <t>собственникам дома по адресу: б.Энтузиастов д.13 (3/09)</t>
  </si>
  <si>
    <t>б.Энтузиастов,д.13</t>
  </si>
  <si>
    <t>собственникам дома по адресу: б.Энтузиастов д.17 (3/11)</t>
  </si>
  <si>
    <t>б.Энтузиастов,д.17</t>
  </si>
  <si>
    <t>Направляем Вам отчет УК по выполнению работ и оказанию жилищно-коммунальных услуг за 2014 год</t>
  </si>
  <si>
    <t>Отчет о б исполнении договора управления МКД</t>
  </si>
  <si>
    <t>1.2.</t>
  </si>
  <si>
    <t>1.1.</t>
  </si>
  <si>
    <t>1.3.</t>
  </si>
  <si>
    <t>Количество домов</t>
  </si>
  <si>
    <t>Количество лицевых счетов</t>
  </si>
  <si>
    <t>ФОТ и среднесписочная численность работников</t>
  </si>
  <si>
    <t>Количсество АУП,чел</t>
  </si>
  <si>
    <t>Количество рабочих,чел.</t>
  </si>
  <si>
    <t>Среднемесячный ФОТ,тыс.руб.</t>
  </si>
  <si>
    <t>Среднесписочная численность,чел</t>
  </si>
  <si>
    <t>Среднемесячная заработная плата,тыс.руб</t>
  </si>
  <si>
    <t>Услуги ГРЦ</t>
  </si>
  <si>
    <t>Тема обращения</t>
  </si>
  <si>
    <t>Количество обращений</t>
  </si>
  <si>
    <t>Процент выполнения</t>
  </si>
  <si>
    <t>Отопление</t>
  </si>
  <si>
    <t>ГВС,ХВС</t>
  </si>
  <si>
    <t>Освещение</t>
  </si>
  <si>
    <t>Домофон</t>
  </si>
  <si>
    <t>М\П швы</t>
  </si>
  <si>
    <t>Кровля</t>
  </si>
  <si>
    <t>Парковка</t>
  </si>
  <si>
    <t>Домохозяйство</t>
  </si>
  <si>
    <t>Тек.ремонт</t>
  </si>
  <si>
    <t>Кап.ремонт</t>
  </si>
  <si>
    <t>Пандусы</t>
  </si>
  <si>
    <t>Лифты</t>
  </si>
  <si>
    <t>Тарифы,начисления</t>
  </si>
  <si>
    <t>Статистика обращений в диспетчерскую службу с 01.09.2014 по 31.12.2014г.</t>
  </si>
  <si>
    <t>1,61/2,3</t>
  </si>
  <si>
    <t>1,67/2,39</t>
  </si>
  <si>
    <t>Директор ООО "Энтузиаст"</t>
  </si>
  <si>
    <t>Минхаеров Ф.С.</t>
  </si>
  <si>
    <t>Остаток ( + долг, - переплата)</t>
  </si>
  <si>
    <t>Остаток ( +долг, - переплата)</t>
  </si>
  <si>
    <t>Остаток ( +долг, -переплата)</t>
  </si>
  <si>
    <t>Остаток ( + долг, -переплата)</t>
  </si>
  <si>
    <t>Остаток (+ долг, -переплата)</t>
  </si>
  <si>
    <t>Директор ООО Энтузиаст</t>
  </si>
  <si>
    <t>Остаток (+ долг, - переплата)</t>
  </si>
  <si>
    <t>Остаток (+ долг,-переплата)</t>
  </si>
  <si>
    <t>Остаток ( +долг, + переплата)</t>
  </si>
  <si>
    <t>ИТОГО с 01.09.2014 по 31.12.2014г.</t>
  </si>
  <si>
    <t>ИТОГО с 01.09.2014г. по 31.12.2014г.</t>
  </si>
  <si>
    <t>Итого по жилищно-коммунальным услугам с 01.09.2014г. по 31.12.2014г.</t>
  </si>
  <si>
    <t xml:space="preserve"> </t>
  </si>
  <si>
    <t>Прочие  услуги по содержанию и ремонту общего имущества с 01.09.2014г. по 31.12.2014г.</t>
  </si>
  <si>
    <t>Жилищные услуги с 01.09.2014г. по  31.12.2014г.</t>
  </si>
  <si>
    <t>Коммунальные услуги с 01.09.2014 по 31.12.2014г.</t>
  </si>
  <si>
    <t>Жилищные услуги с 01.09.2014г. по 31.12.2014г.</t>
  </si>
  <si>
    <t>III квартал</t>
  </si>
  <si>
    <t xml:space="preserve"> дом</t>
  </si>
  <si>
    <t xml:space="preserve"> подъезд</t>
  </si>
  <si>
    <t>ТО и ремонт вентканалов</t>
  </si>
  <si>
    <t>II квартал</t>
  </si>
  <si>
    <t>дом</t>
  </si>
  <si>
    <t>II-III квартал</t>
  </si>
  <si>
    <r>
      <t>Освежающий ремонт л/клеток</t>
    </r>
    <r>
      <rPr>
        <sz val="11"/>
        <color indexed="8"/>
        <rFont val="Times New Roman"/>
        <family val="1"/>
        <charset val="204"/>
      </rPr>
      <t>,  в том числе:</t>
    </r>
  </si>
  <si>
    <t xml:space="preserve">Покраска подъездов </t>
  </si>
  <si>
    <t>подъезд</t>
  </si>
  <si>
    <t xml:space="preserve">Установка пластиковых окон </t>
  </si>
  <si>
    <t xml:space="preserve">Замена мусороклапанов </t>
  </si>
  <si>
    <t xml:space="preserve">Замена, ремонт почтовых ящиков, замена металл.дверц.на п/ящиках </t>
  </si>
  <si>
    <t xml:space="preserve">Установка тамбурных дверей </t>
  </si>
  <si>
    <t xml:space="preserve">Ремонт отмосток </t>
  </si>
  <si>
    <t>Ремонт входного узла (маталлосайдинг)</t>
  </si>
  <si>
    <r>
      <t xml:space="preserve">Прочие работы ( </t>
    </r>
    <r>
      <rPr>
        <sz val="11"/>
        <color indexed="10"/>
        <rFont val="Times New Roman"/>
        <family val="1"/>
        <charset val="204"/>
      </rPr>
      <t>с расшифровкой</t>
    </r>
    <r>
      <rPr>
        <sz val="11"/>
        <color indexed="8"/>
        <rFont val="Times New Roman"/>
        <family val="1"/>
        <charset val="204"/>
      </rPr>
      <t>), в т.ч.:</t>
    </r>
  </si>
  <si>
    <t>Приобретение и установка инф.табличек на д/площадку</t>
  </si>
  <si>
    <t>V-IX</t>
  </si>
  <si>
    <t>X</t>
  </si>
  <si>
    <t>V</t>
  </si>
  <si>
    <t>23 м</t>
  </si>
  <si>
    <t>12 м</t>
  </si>
  <si>
    <t xml:space="preserve">Обслуживание, ремонт ИТП </t>
  </si>
  <si>
    <t xml:space="preserve">Замена труб ГВС, ХВС, канализации </t>
  </si>
  <si>
    <t>I-XII</t>
  </si>
  <si>
    <t>16 м</t>
  </si>
  <si>
    <t>1 м</t>
  </si>
  <si>
    <t>Благоустройство, в т.ч.:</t>
  </si>
  <si>
    <t xml:space="preserve">Окраска Мафов </t>
  </si>
  <si>
    <t>V, VI</t>
  </si>
  <si>
    <t>VII</t>
  </si>
  <si>
    <t>6 тн</t>
  </si>
  <si>
    <t>XII, I, II, III</t>
  </si>
  <si>
    <t>23,9 л</t>
  </si>
  <si>
    <t>Расходы на транспорт (уборка снега, вывоз мусора)</t>
  </si>
  <si>
    <t>Прием отходов на захоронение</t>
  </si>
  <si>
    <t>18,32 тн</t>
  </si>
  <si>
    <t>2 подъезда</t>
  </si>
  <si>
    <t>Ремонт м/клапанов</t>
  </si>
  <si>
    <t>8 шт.</t>
  </si>
  <si>
    <t xml:space="preserve">Поверка средств измерений на ИТП (тепловычислители, расходомеры) </t>
  </si>
  <si>
    <t>5 шт.</t>
  </si>
  <si>
    <t>30,5 л</t>
  </si>
  <si>
    <t>23,34 тн</t>
  </si>
  <si>
    <t xml:space="preserve">Приобретение бачков под ТБО </t>
  </si>
  <si>
    <t>10 шт.</t>
  </si>
  <si>
    <t>6 шт.</t>
  </si>
  <si>
    <t>8 м</t>
  </si>
  <si>
    <t>20,2 л</t>
  </si>
  <si>
    <t>15,5 тн</t>
  </si>
  <si>
    <t>10 м</t>
  </si>
  <si>
    <t>17,7 л</t>
  </si>
  <si>
    <t>13,58 тн</t>
  </si>
  <si>
    <t>Общеэксплуатационные расходы до 1 сентября 2014г. (з/пл,налоги, обслуживание оргтехники и пр.)</t>
  </si>
  <si>
    <t>27 п.м</t>
  </si>
  <si>
    <t>1 шт.</t>
  </si>
  <si>
    <t>14 м</t>
  </si>
  <si>
    <t>25,5 м</t>
  </si>
  <si>
    <t>6 м</t>
  </si>
  <si>
    <t>20,4 л</t>
  </si>
  <si>
    <t>15,65 тн</t>
  </si>
  <si>
    <t>233,6 п.м</t>
  </si>
  <si>
    <t>51 м</t>
  </si>
  <si>
    <t>24 м</t>
  </si>
  <si>
    <t>20 л</t>
  </si>
  <si>
    <t>15,34 тн</t>
  </si>
  <si>
    <t>722,2 п.м</t>
  </si>
  <si>
    <t>21 м</t>
  </si>
  <si>
    <t>18 м</t>
  </si>
  <si>
    <t>15 м</t>
  </si>
  <si>
    <t>20,9 л</t>
  </si>
  <si>
    <t>16,03 тн</t>
  </si>
  <si>
    <t>9 шт</t>
  </si>
  <si>
    <t>492,8 п.м</t>
  </si>
  <si>
    <t>24,5 м</t>
  </si>
  <si>
    <t>21 тн</t>
  </si>
  <si>
    <t>16,08 тн</t>
  </si>
  <si>
    <t>6 шт</t>
  </si>
  <si>
    <t>307,2 п.м</t>
  </si>
  <si>
    <t>3 шт.</t>
  </si>
  <si>
    <t>61 м</t>
  </si>
  <si>
    <t>25 м</t>
  </si>
  <si>
    <t>13 м</t>
  </si>
  <si>
    <t>20,57 тн</t>
  </si>
  <si>
    <t>15,74 тн</t>
  </si>
  <si>
    <t>17 подъездов</t>
  </si>
  <si>
    <t>Замена мусороклапанов (под.№1;16)</t>
  </si>
  <si>
    <t>14 шт</t>
  </si>
  <si>
    <t>42 шт</t>
  </si>
  <si>
    <t>230,55 п.м</t>
  </si>
  <si>
    <t>Ремонт м/клапанов; Демонтаж огр. конструкций (вх.узел); Ремонт в квартирах ветеранов ВОВ кв.50; 385; Установка пандуса под.№8; Приобретение и установка инф.табличек на д/площадку</t>
  </si>
  <si>
    <t>231 м</t>
  </si>
  <si>
    <t>138 м</t>
  </si>
  <si>
    <t>198 м</t>
  </si>
  <si>
    <t>310,5 м</t>
  </si>
  <si>
    <t>Рытье траншеи для замены канализационных выпусков (под.12;13;14;17)</t>
  </si>
  <si>
    <t>11 тн</t>
  </si>
  <si>
    <t xml:space="preserve">Завоз чернозема </t>
  </si>
  <si>
    <t>20 тн</t>
  </si>
  <si>
    <t>189,31 тн</t>
  </si>
  <si>
    <t>144,89 тн</t>
  </si>
  <si>
    <t xml:space="preserve">Снос деревьев </t>
  </si>
  <si>
    <t>12 шт</t>
  </si>
  <si>
    <t>Установка скамеек</t>
  </si>
  <si>
    <t>17 шт</t>
  </si>
  <si>
    <t>20 подъездов</t>
  </si>
  <si>
    <t>Ремонт фасада (гл.фасад, частично)</t>
  </si>
  <si>
    <t>640 кв.м</t>
  </si>
  <si>
    <t>316 кв.м</t>
  </si>
  <si>
    <t>Ремонт м/клапанов; установка ограждений для цветника на д/площадке (из б/у труб); Приобретение и установка инф.табличек на д/площадку</t>
  </si>
  <si>
    <t>129 м</t>
  </si>
  <si>
    <t>38 м</t>
  </si>
  <si>
    <t>775,5 м</t>
  </si>
  <si>
    <t>106 м</t>
  </si>
  <si>
    <t>Рытье траншеи для замены канализационных выпусков</t>
  </si>
  <si>
    <t>75,86 тн</t>
  </si>
  <si>
    <t>58,06 тн</t>
  </si>
  <si>
    <t>Ремонт скамеек с 1 по 20 подъезды</t>
  </si>
  <si>
    <t>20 шт</t>
  </si>
  <si>
    <t>16 подъездов</t>
  </si>
  <si>
    <t>50 м</t>
  </si>
  <si>
    <t>41 м</t>
  </si>
  <si>
    <t>68 м</t>
  </si>
  <si>
    <t>3 тн</t>
  </si>
  <si>
    <t>16 тн</t>
  </si>
  <si>
    <t>62,57 л</t>
  </si>
  <si>
    <t>62,57 тн</t>
  </si>
  <si>
    <t>47,89 тн</t>
  </si>
  <si>
    <t>10 шт</t>
  </si>
  <si>
    <t>21 подъезд</t>
  </si>
  <si>
    <t xml:space="preserve">Латочный ремонт кровли </t>
  </si>
  <si>
    <t>10 кв.м</t>
  </si>
  <si>
    <t>148,5 п.м</t>
  </si>
  <si>
    <t>Ремонт м/клапанов; ремонт крыльца под.№5; установка ограждений (из б/у труб); Приобретение и установка инф.табличек на д/площадку</t>
  </si>
  <si>
    <t>240 м</t>
  </si>
  <si>
    <t>69 м</t>
  </si>
  <si>
    <t>56 м</t>
  </si>
  <si>
    <t>87 м</t>
  </si>
  <si>
    <t>81,36 тн</t>
  </si>
  <si>
    <t>Ремонт дорог, тротуаров</t>
  </si>
  <si>
    <t>VII, VIII, IX</t>
  </si>
  <si>
    <t>140 кв.м</t>
  </si>
  <si>
    <t>62,27 тн</t>
  </si>
  <si>
    <t>4 шт</t>
  </si>
  <si>
    <t>14  подъездов</t>
  </si>
  <si>
    <t>20 кв.м</t>
  </si>
  <si>
    <t>Установка пластиковых окон (под.№3)</t>
  </si>
  <si>
    <t>Замена мусороклапанов (под.№8)</t>
  </si>
  <si>
    <t>3 шт</t>
  </si>
  <si>
    <t xml:space="preserve">Кирпичная кладка для установки оконных блоков в угловом подъезде №3 </t>
  </si>
  <si>
    <t>Укладка плитки на пол в подъездах</t>
  </si>
  <si>
    <t>4 кв.м</t>
  </si>
  <si>
    <t>90 м</t>
  </si>
  <si>
    <t>63,5 м</t>
  </si>
  <si>
    <t>197 м</t>
  </si>
  <si>
    <t>54,89 л</t>
  </si>
  <si>
    <t>42,01 тн</t>
  </si>
  <si>
    <t xml:space="preserve"> 9 подъездов</t>
  </si>
  <si>
    <t>9 подъездов</t>
  </si>
  <si>
    <t>120,9 п.м</t>
  </si>
  <si>
    <t>651 м</t>
  </si>
  <si>
    <t>45 м</t>
  </si>
  <si>
    <t>11 м</t>
  </si>
  <si>
    <t>99,51л</t>
  </si>
  <si>
    <t>64,2 кв.м</t>
  </si>
  <si>
    <t>76,16 тн</t>
  </si>
  <si>
    <t>8  подъездов</t>
  </si>
  <si>
    <t>40 кв.м</t>
  </si>
  <si>
    <t>Установка пластиковых окон (диспетчерская)</t>
  </si>
  <si>
    <t>1 шт</t>
  </si>
  <si>
    <t>94 м</t>
  </si>
  <si>
    <t>26 м</t>
  </si>
  <si>
    <t>28 м</t>
  </si>
  <si>
    <t>8,5 м</t>
  </si>
  <si>
    <t>29,48л</t>
  </si>
  <si>
    <t>160,4 кв.м</t>
  </si>
  <si>
    <t>22,57 тн</t>
  </si>
  <si>
    <t>4  подъезда</t>
  </si>
  <si>
    <t>Установка тамбурных дверей (под.№4)</t>
  </si>
  <si>
    <t>1 дверь</t>
  </si>
  <si>
    <t>47 м</t>
  </si>
  <si>
    <t>14,4л</t>
  </si>
  <si>
    <t>11,02 тн</t>
  </si>
  <si>
    <t xml:space="preserve"> 26 подъездов</t>
  </si>
  <si>
    <t>26 подъездов</t>
  </si>
  <si>
    <t>94 кв.м</t>
  </si>
  <si>
    <t>Замена металл.дверц.на п/ящиках (под.17,20)</t>
  </si>
  <si>
    <t>2 шт</t>
  </si>
  <si>
    <t>Установка метал.вх.двери ж/д 3/01 под.24; установка метал.двери шахты инженерно-тех.сети МКД 3/01 под.8</t>
  </si>
  <si>
    <t>2 двери</t>
  </si>
  <si>
    <t>Укладка плитки на пол в подъездах №11,14,16,19,20</t>
  </si>
  <si>
    <t>53 кв.м</t>
  </si>
  <si>
    <t>Ремонт в квартире 359 ветерана ВОВ; Ремонт м/клапанов; Установка ограждений (из б/у труб); Приобретение и установка инф.табличек на д/площадку</t>
  </si>
  <si>
    <t>746 м</t>
  </si>
  <si>
    <t>83 м</t>
  </si>
  <si>
    <t xml:space="preserve">Передача имитаторного узла (расходомер, имитатор) </t>
  </si>
  <si>
    <t>258 м</t>
  </si>
  <si>
    <t>205 м</t>
  </si>
  <si>
    <t>18 тн</t>
  </si>
  <si>
    <t>30 тн</t>
  </si>
  <si>
    <t>337,15л</t>
  </si>
  <si>
    <t>13,2 кв.м</t>
  </si>
  <si>
    <t>258,04 тн</t>
  </si>
  <si>
    <t xml:space="preserve">Приобретение и посадка саженцев деревьев </t>
  </si>
  <si>
    <t>Кронирование тополей (под.№14,24)</t>
  </si>
  <si>
    <t>8 подъездов</t>
  </si>
  <si>
    <t>Покраска подъездов (под.№1,4,5,6,7)</t>
  </si>
  <si>
    <t>5 подъездов</t>
  </si>
  <si>
    <t>200 шт</t>
  </si>
  <si>
    <t>Установка тамбурных дверей (под.№1,4,5,7)</t>
  </si>
  <si>
    <t>4 двери</t>
  </si>
  <si>
    <t>255,9 п.м</t>
  </si>
  <si>
    <t xml:space="preserve">Ремонт наружных откосов окон </t>
  </si>
  <si>
    <t>64 шт</t>
  </si>
  <si>
    <t>17 м</t>
  </si>
  <si>
    <t>107 м</t>
  </si>
  <si>
    <t>63 м</t>
  </si>
  <si>
    <t>67,14л</t>
  </si>
  <si>
    <t>266 кв.м</t>
  </si>
  <si>
    <t>51,38 тн</t>
  </si>
  <si>
    <t>158 п.м</t>
  </si>
  <si>
    <t>Восстановл.балконных экранов</t>
  </si>
  <si>
    <t>50 кв.м</t>
  </si>
  <si>
    <t>3 кв.м</t>
  </si>
  <si>
    <t>34 м</t>
  </si>
  <si>
    <t>36 м</t>
  </si>
  <si>
    <t>23,67 тн</t>
  </si>
  <si>
    <t>18,11 тн</t>
  </si>
  <si>
    <t>5 кв.м</t>
  </si>
  <si>
    <t>Ремонт фасада</t>
  </si>
  <si>
    <t>Установка ограждений (из б/у труб); Приобретение и установка инф.табличек на д/площадку</t>
  </si>
  <si>
    <t>22 м</t>
  </si>
  <si>
    <t>12 тн</t>
  </si>
  <si>
    <t>33,69 тн</t>
  </si>
  <si>
    <t xml:space="preserve">Установка детской площадки </t>
  </si>
  <si>
    <t>3 элемента</t>
  </si>
  <si>
    <t>25,79 тн</t>
  </si>
  <si>
    <t xml:space="preserve">Приобретение и посадка цветочной рассады </t>
  </si>
  <si>
    <t>13 шт</t>
  </si>
  <si>
    <t>Покраска подъездов (под.№1,2,3,4,6)</t>
  </si>
  <si>
    <t>Установка пластиковых окон (под.№1,2,3,6,7)</t>
  </si>
  <si>
    <t>32 шт</t>
  </si>
  <si>
    <t>Ремонт м/клапанов; Приобретение и установка инф.табличек на д/площадку</t>
  </si>
  <si>
    <t>5 м</t>
  </si>
  <si>
    <t>11,5 м</t>
  </si>
  <si>
    <t>34,18 тн</t>
  </si>
  <si>
    <t>30 кв.м</t>
  </si>
  <si>
    <t>26,16 тн</t>
  </si>
  <si>
    <t>39,5 м</t>
  </si>
  <si>
    <t>23,88 тн</t>
  </si>
  <si>
    <t>110 кв.м</t>
  </si>
  <si>
    <t>18,28 тн</t>
  </si>
  <si>
    <t>12 подъездов</t>
  </si>
  <si>
    <t>4 м</t>
  </si>
  <si>
    <t>30 м</t>
  </si>
  <si>
    <t>28,5 м</t>
  </si>
  <si>
    <t>53 м</t>
  </si>
  <si>
    <t>46,54 тн</t>
  </si>
  <si>
    <t>35,62 тн</t>
  </si>
  <si>
    <t xml:space="preserve">Кронирование тополей </t>
  </si>
  <si>
    <t>10 подъездов</t>
  </si>
  <si>
    <t>459,5 п.м</t>
  </si>
  <si>
    <t>Ремонт крыльца (под.№4); Приобретение и установка инф.табличек на д/площадку</t>
  </si>
  <si>
    <t>99 м</t>
  </si>
  <si>
    <t>60 м</t>
  </si>
  <si>
    <t>115,28 тн</t>
  </si>
  <si>
    <t>88,23 тн</t>
  </si>
  <si>
    <t>398,4 п.м</t>
  </si>
  <si>
    <t>20 м</t>
  </si>
  <si>
    <t>20,42 тн</t>
  </si>
  <si>
    <t>15,63 тн</t>
  </si>
  <si>
    <t>Покраска подъездов (под.№1,2,3,4)</t>
  </si>
  <si>
    <t>4 подъезда</t>
  </si>
  <si>
    <t>Установка пластиковых окон (кв.97- инвалид 2 группы, муниц.квартира)</t>
  </si>
  <si>
    <t>43,55 тн</t>
  </si>
  <si>
    <t>33,33 тн</t>
  </si>
  <si>
    <t>24 дома</t>
  </si>
  <si>
    <t>27 домов</t>
  </si>
  <si>
    <t>204 подъезда</t>
  </si>
  <si>
    <t>208 подъездов</t>
  </si>
  <si>
    <t>Латочный ремонт кровли ж/д 2/10; 2/11; 2/17; 2/20; 3/03; 3/06; 3/11</t>
  </si>
  <si>
    <t>204 кв.м</t>
  </si>
  <si>
    <t>Покраска подъездов ж/д 2/03 (с 8 по 12 этаж),ж/д 2/04,ж/д 2/06,ж/д 3/03 под.1,4,5,6,7;ж/д 3/09 под.1,2,3,4,6;ж/д 3/19 под.1,2,3,4</t>
  </si>
  <si>
    <t>Установка пластиковых окон ж/д 2/11 под.3, ж/д 2/20 (диспетчерская),ж/д 3/09 под.1,2,3,6,7;ж/д 3/19 кв.97 (муниц. квартира,инвалид 2 группы)</t>
  </si>
  <si>
    <t>24 шт.</t>
  </si>
  <si>
    <t>27 шт.</t>
  </si>
  <si>
    <t>Замена мусороклапанов ж/д 2/04,ж/д 2/07 п.1,16,ж/д 2/11 п.8</t>
  </si>
  <si>
    <t>22 шт.</t>
  </si>
  <si>
    <t>Замена, ремонт почтовых ящиков, замена металл.дверц.на п/ящиках ж/д 2/07; ж/д 3/01; ж/д 3/03</t>
  </si>
  <si>
    <t>244 шт.</t>
  </si>
  <si>
    <t>Установка тамбурных дверей ж/д 2/21 под.4;ж/д 3/03 под.1,4,5,7; установка метал.вх.двери ж/д 3/01 под.24; установка метал.двери шахты инженерно-тех.сети МКД 3/01 под.8</t>
  </si>
  <si>
    <t>7 дверей</t>
  </si>
  <si>
    <t>3554,55 п.м</t>
  </si>
  <si>
    <t>Ремонт отмосток ж/д 3/19 под.5</t>
  </si>
  <si>
    <t>Ремонт фасада ж/д 2/08 (гл.фасад, частично)</t>
  </si>
  <si>
    <t>Восстановл.балконных экранов ж/д 3/05</t>
  </si>
  <si>
    <t>Кирпичная кладка для установки оконных блоков в угловом подъезде №3 ж/д 2/11,Ремонт наружных откосов окон ж/д 3/03, ж/д 3/09</t>
  </si>
  <si>
    <t>Укладка плитки на пол в подъездах №.11, 14, 16, 19, 20 ж/д 3/01</t>
  </si>
  <si>
    <t>7 кв.м</t>
  </si>
  <si>
    <t>Ремонт крыльца ж/д 2/10 под.5, ж/д 3/14 под.4; Установка пандуса ж/д 2/07 под.8, Установка ограждений (из б/у труб), Ремонт м/клапанов ж/д 1/13,2/01,2/02,2/03,2/05,2/06,2/07,2/08,2/09,2/10,2/11,2/17,2/20,2/21,3/01,3/03,3/05,3/06,3/09,3/19; Демонтаж огр.конструкций (вх.узел) ж/д 2/07; Приобретение и установка инф.табличек на д/площадки; Ремонт в квартирах ветеранов ВОВ</t>
  </si>
  <si>
    <t>2580 м</t>
  </si>
  <si>
    <t>539 м</t>
  </si>
  <si>
    <t>Обслуживание, ремонт ИТП ж/д 2/03,ж/д 3/01,ж/д 3/03</t>
  </si>
  <si>
    <t>Поверка средств измерений на ИТП (тепловычислители, расходомеры) ж/д 1/13, ж/д 1/14, ж/д 1/17</t>
  </si>
  <si>
    <t>17 шт.</t>
  </si>
  <si>
    <t>Передача имитаторного узла (расходомер, имитатор) ж/д 3/01</t>
  </si>
  <si>
    <t>4 шт.</t>
  </si>
  <si>
    <t xml:space="preserve">1991 м </t>
  </si>
  <si>
    <t>1392 м</t>
  </si>
  <si>
    <t>Рытье траншеи для замены канализационных выпусков (ж/д 2/07 под.12,13,14,17; ж/д 2/08, ж/д 3/09</t>
  </si>
  <si>
    <t>Окраска Мафов ж/д 2/07; 2/08; 2/09; 2/11; 2/17; 3/01; 3/03; 3/05; 3/06; 3/09; 3/12; 3/14</t>
  </si>
  <si>
    <t>Заготовка песка ж/д 2/03; 2/04; 2/07; 2/08; 2/09; 2/10; 2/21; 3/01; 3/05; 3/06; 3/09; 3/12; 3/14</t>
  </si>
  <si>
    <t>110 тн</t>
  </si>
  <si>
    <t>Завоз чернозема ж/д 2/07; 2/09; 2/11; 3/06; 3/12; 3/19</t>
  </si>
  <si>
    <t>80 тн</t>
  </si>
  <si>
    <t>1479,8 л</t>
  </si>
  <si>
    <t>1548,3 л</t>
  </si>
  <si>
    <t>Установка детской площадки ж/д 3/06</t>
  </si>
  <si>
    <t>813,8 м2</t>
  </si>
  <si>
    <t>1132,58 тн</t>
  </si>
  <si>
    <t>1185 тн</t>
  </si>
  <si>
    <t>Снос деревьев ж/д 2/07; 3/15; 3/19</t>
  </si>
  <si>
    <t>Приобретение и посадка саженцев деревьев ж/д 3/01</t>
  </si>
  <si>
    <t>42 шт.</t>
  </si>
  <si>
    <t>Кронирование тополей ж/д 3/01</t>
  </si>
  <si>
    <t>Приобретение и посадка цветочной рассады ж/д 3/06</t>
  </si>
  <si>
    <t>Приобретение бачков под ТБО - 1;2;3 к-с</t>
  </si>
  <si>
    <t>90 шт.</t>
  </si>
  <si>
    <t>120 шт.</t>
  </si>
  <si>
    <t>Установка скамеек ж/д 2/07; 2/10; 3/19</t>
  </si>
  <si>
    <t>23 шт.</t>
  </si>
  <si>
    <t>Ремонт скамеек ж/д 2/08 с 1 по 20 подъезды</t>
  </si>
  <si>
    <t>20 шт.</t>
  </si>
  <si>
    <t>Отчет о выполнении работ по содержанию и ремонту общего имущества, предоставлению 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</si>
</sst>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8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1" fontId="5" fillId="0" borderId="1" xfId="0" applyNumberFormat="1" applyFont="1" applyBorder="1"/>
    <xf numFmtId="1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4" fillId="0" borderId="0" xfId="0" applyNumberFormat="1" applyFont="1" applyBorder="1" applyAlignment="1"/>
    <xf numFmtId="0" fontId="5" fillId="0" borderId="0" xfId="0" applyFont="1" applyBorder="1" applyAlignment="1"/>
    <xf numFmtId="2" fontId="5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4" xfId="0" applyBorder="1" applyAlignment="1"/>
    <xf numFmtId="0" fontId="0" fillId="0" borderId="1" xfId="0" applyBorder="1" applyAlignment="1"/>
    <xf numFmtId="0" fontId="4" fillId="0" borderId="0" xfId="0" applyFont="1" applyAlignment="1"/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4" fillId="0" borderId="1" xfId="2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3" fontId="7" fillId="0" borderId="1" xfId="0" applyNumberFormat="1" applyFont="1" applyBorder="1" applyAlignment="1">
      <alignment wrapText="1"/>
    </xf>
    <xf numFmtId="4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/>
    </xf>
    <xf numFmtId="43" fontId="0" fillId="0" borderId="0" xfId="0" applyNumberForma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/>
    <xf numFmtId="0" fontId="3" fillId="0" borderId="0" xfId="0" applyFont="1"/>
    <xf numFmtId="1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7" xfId="0" applyBorder="1"/>
    <xf numFmtId="0" fontId="0" fillId="0" borderId="0" xfId="0" applyBorder="1" applyAlignment="1"/>
    <xf numFmtId="0" fontId="0" fillId="0" borderId="0" xfId="0" applyBorder="1"/>
    <xf numFmtId="49" fontId="7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wrapText="1"/>
    </xf>
    <xf numFmtId="49" fontId="7" fillId="0" borderId="1" xfId="2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3" fontId="5" fillId="2" borderId="1" xfId="2" applyFont="1" applyFill="1" applyBorder="1" applyAlignment="1">
      <alignment vertical="center"/>
    </xf>
    <xf numFmtId="43" fontId="5" fillId="2" borderId="1" xfId="2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center"/>
    </xf>
    <xf numFmtId="43" fontId="9" fillId="2" borderId="1" xfId="2" applyFont="1" applyFill="1" applyBorder="1"/>
    <xf numFmtId="0" fontId="9" fillId="2" borderId="1" xfId="0" applyFont="1" applyFill="1" applyBorder="1"/>
    <xf numFmtId="43" fontId="9" fillId="2" borderId="1" xfId="2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3" fontId="5" fillId="2" borderId="1" xfId="2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3" fontId="4" fillId="2" borderId="1" xfId="2" applyFont="1" applyFill="1" applyBorder="1"/>
    <xf numFmtId="0" fontId="5" fillId="0" borderId="1" xfId="0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43" fontId="5" fillId="2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44" fontId="5" fillId="0" borderId="2" xfId="1" applyFont="1" applyBorder="1" applyAlignment="1">
      <alignment horizontal="left" vertical="center" wrapText="1"/>
    </xf>
    <xf numFmtId="44" fontId="5" fillId="0" borderId="4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6"/>
  <sheetViews>
    <sheetView view="pageBreakPreview" zoomScale="70" zoomScaleSheetLayoutView="70" workbookViewId="0">
      <selection activeCell="E25" sqref="E25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5.28515625" customWidth="1"/>
    <col min="5" max="5" width="17" customWidth="1"/>
    <col min="6" max="6" width="16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156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157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5424.65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4396.45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1028.2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5424.65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155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219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2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350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40.25" x14ac:dyDescent="0.25">
      <c r="B21" s="230"/>
      <c r="C21" s="231"/>
      <c r="D21" s="232"/>
      <c r="E21" s="52" t="s">
        <v>20</v>
      </c>
      <c r="F21" s="52" t="s">
        <v>21</v>
      </c>
      <c r="G21" s="52" t="s">
        <v>19</v>
      </c>
      <c r="H21" s="31"/>
    </row>
    <row r="22" spans="1:8" x14ac:dyDescent="0.25">
      <c r="B22" s="223" t="s">
        <v>22</v>
      </c>
      <c r="C22" s="224"/>
      <c r="D22" s="122"/>
      <c r="E22" s="122"/>
      <c r="F22" s="122"/>
      <c r="G22" s="122"/>
      <c r="H22" s="2"/>
    </row>
    <row r="23" spans="1:8" x14ac:dyDescent="0.25">
      <c r="B23" s="223" t="s">
        <v>23</v>
      </c>
      <c r="C23" s="224"/>
      <c r="D23" s="43">
        <f>E23+F23+G23</f>
        <v>2512067.89</v>
      </c>
      <c r="E23" s="45">
        <f>E38+D97+C141</f>
        <v>559751.13</v>
      </c>
      <c r="F23" s="7">
        <f>D98+D99+D100+D101+D102+D103+D104+D105</f>
        <v>191160.76</v>
      </c>
      <c r="G23" s="7">
        <f>F112+F113+F114+F115+F116+F117</f>
        <v>1761156.0000000002</v>
      </c>
      <c r="H23" s="2"/>
    </row>
    <row r="24" spans="1:8" x14ac:dyDescent="0.25">
      <c r="B24" s="223" t="s">
        <v>24</v>
      </c>
      <c r="C24" s="224"/>
      <c r="D24" s="43">
        <f>E24+F24+G24</f>
        <v>1757609.67</v>
      </c>
      <c r="E24" s="45">
        <f>F38+E97+D139+D140</f>
        <v>291130.23999999999</v>
      </c>
      <c r="F24" s="7">
        <f>E98+E99+E101+E102+E105+E100+E103+E104</f>
        <v>174622.95</v>
      </c>
      <c r="G24" s="7">
        <f>G118</f>
        <v>1291856.48</v>
      </c>
      <c r="H24" s="2"/>
    </row>
    <row r="25" spans="1:8" x14ac:dyDescent="0.25">
      <c r="B25" s="223" t="s">
        <v>25</v>
      </c>
      <c r="C25" s="224"/>
      <c r="D25" s="7">
        <f>E25+F25+G25</f>
        <v>1802169.53</v>
      </c>
      <c r="E25" s="44">
        <f>D141+247341.5</f>
        <v>335690.1</v>
      </c>
      <c r="F25" s="7">
        <f>F24</f>
        <v>174622.95</v>
      </c>
      <c r="G25" s="7">
        <f>G24</f>
        <v>1291856.48</v>
      </c>
      <c r="H25" s="2"/>
    </row>
    <row r="26" spans="1:8" x14ac:dyDescent="0.25">
      <c r="B26" s="223" t="s">
        <v>249</v>
      </c>
      <c r="C26" s="224"/>
      <c r="D26" s="7">
        <f>E26+F26+G26</f>
        <v>1334291.55</v>
      </c>
      <c r="E26" s="45">
        <f>G38+G97+F141</f>
        <v>247153.46</v>
      </c>
      <c r="F26" s="45">
        <f>G106-G97</f>
        <v>118595.28000000003</v>
      </c>
      <c r="G26" s="45">
        <f>H118</f>
        <v>968542.81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28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55" t="s">
        <v>30</v>
      </c>
      <c r="F30" s="54" t="s">
        <v>31</v>
      </c>
      <c r="G30" s="53" t="s">
        <v>32</v>
      </c>
      <c r="H30" s="9"/>
    </row>
    <row r="31" spans="1:8" x14ac:dyDescent="0.25">
      <c r="B31" s="174" t="s">
        <v>33</v>
      </c>
      <c r="C31" s="212"/>
      <c r="D31" s="175"/>
      <c r="E31" s="51">
        <v>48424.63</v>
      </c>
      <c r="F31" s="40">
        <v>21930.6</v>
      </c>
      <c r="G31" s="51">
        <f>26494.03-8405.01+1311.51</f>
        <v>19400.529999999995</v>
      </c>
      <c r="H31" s="5"/>
    </row>
    <row r="32" spans="1:8" x14ac:dyDescent="0.25">
      <c r="B32" s="174" t="s">
        <v>34</v>
      </c>
      <c r="C32" s="212"/>
      <c r="D32" s="175"/>
      <c r="E32" s="51">
        <v>63959</v>
      </c>
      <c r="F32" s="40">
        <v>28648.959999999999</v>
      </c>
      <c r="G32" s="51">
        <f>35310.04-10931.62+1705.74</f>
        <v>26084.16</v>
      </c>
      <c r="H32" s="5"/>
    </row>
    <row r="33" spans="2:8" x14ac:dyDescent="0.25">
      <c r="B33" s="174" t="s">
        <v>35</v>
      </c>
      <c r="C33" s="212"/>
      <c r="D33" s="175"/>
      <c r="E33" s="51">
        <v>40739.279999999999</v>
      </c>
      <c r="F33" s="40">
        <v>17719.36</v>
      </c>
      <c r="G33" s="51">
        <f>23019.92-7106.32</f>
        <v>15913.599999999999</v>
      </c>
      <c r="H33" s="5"/>
    </row>
    <row r="34" spans="2:8" hidden="1" x14ac:dyDescent="0.25">
      <c r="B34" s="174" t="s">
        <v>36</v>
      </c>
      <c r="C34" s="175"/>
      <c r="D34" s="47"/>
      <c r="E34" s="51"/>
      <c r="F34" s="40"/>
      <c r="G34" s="51"/>
      <c r="H34" s="5"/>
    </row>
    <row r="35" spans="2:8" x14ac:dyDescent="0.25">
      <c r="B35" s="174" t="s">
        <v>37</v>
      </c>
      <c r="C35" s="212"/>
      <c r="D35" s="175"/>
      <c r="E35" s="51">
        <v>95433.41</v>
      </c>
      <c r="F35" s="40">
        <v>41372.959999999999</v>
      </c>
      <c r="G35" s="51">
        <f>54060.45-16545.72</f>
        <v>37514.729999999996</v>
      </c>
      <c r="H35" s="5"/>
    </row>
    <row r="36" spans="2:8" x14ac:dyDescent="0.25">
      <c r="B36" s="174" t="s">
        <v>38</v>
      </c>
      <c r="C36" s="212"/>
      <c r="D36" s="175"/>
      <c r="E36" s="51">
        <v>73349.539999999994</v>
      </c>
      <c r="F36" s="40">
        <v>32338.06</v>
      </c>
      <c r="G36" s="51">
        <f>-29.13+35140.1+5871.38-13887.05</f>
        <v>27095.3</v>
      </c>
      <c r="H36" s="5"/>
    </row>
    <row r="37" spans="2:8" ht="30" customHeight="1" x14ac:dyDescent="0.25">
      <c r="B37" s="174" t="s">
        <v>39</v>
      </c>
      <c r="C37" s="212"/>
      <c r="D37" s="175"/>
      <c r="E37" s="51">
        <v>74340.88</v>
      </c>
      <c r="F37" s="40">
        <v>33306.71</v>
      </c>
      <c r="G37" s="51">
        <f>-28.69+41034.17-12802.12</f>
        <v>28203.359999999993</v>
      </c>
      <c r="H37" s="5"/>
    </row>
    <row r="38" spans="2:8" ht="23.25" customHeight="1" x14ac:dyDescent="0.25">
      <c r="B38" s="202" t="s">
        <v>258</v>
      </c>
      <c r="C38" s="213"/>
      <c r="D38" s="203"/>
      <c r="E38" s="41">
        <f>SUM(E31:E37)</f>
        <v>396246.74</v>
      </c>
      <c r="F38" s="41">
        <f>SUM(F31:F37)</f>
        <v>175316.65</v>
      </c>
      <c r="G38" s="41">
        <f>SUM(G31:G37)</f>
        <v>154211.68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105771.22</v>
      </c>
      <c r="G44" s="112"/>
      <c r="H44" s="123">
        <f>H45+H46+H47</f>
        <v>86185.700000000012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v>33620.050000000003</v>
      </c>
      <c r="G45" s="112"/>
      <c r="H45" s="105">
        <v>27914.799999999999</v>
      </c>
    </row>
    <row r="46" spans="2:8" x14ac:dyDescent="0.25">
      <c r="B46" s="210" t="s">
        <v>49</v>
      </c>
      <c r="C46" s="211"/>
      <c r="D46" s="51">
        <v>2014</v>
      </c>
      <c r="E46" s="10"/>
      <c r="F46" s="105">
        <v>43726</v>
      </c>
      <c r="G46" s="112"/>
      <c r="H46" s="105">
        <v>30098</v>
      </c>
    </row>
    <row r="47" spans="2:8" x14ac:dyDescent="0.25">
      <c r="B47" s="174" t="s">
        <v>35</v>
      </c>
      <c r="C47" s="175"/>
      <c r="D47" s="51">
        <v>2014</v>
      </c>
      <c r="E47" s="10"/>
      <c r="F47" s="105">
        <v>28425.17</v>
      </c>
      <c r="G47" s="112"/>
      <c r="H47" s="105">
        <v>28172.9</v>
      </c>
    </row>
    <row r="48" spans="2:8" hidden="1" x14ac:dyDescent="0.25">
      <c r="B48" s="174" t="s">
        <v>36</v>
      </c>
      <c r="C48" s="175"/>
      <c r="D48" s="51"/>
      <c r="E48" s="10"/>
      <c r="F48" s="14"/>
      <c r="G48" s="10"/>
      <c r="H48" s="14"/>
    </row>
    <row r="49" spans="2:8" x14ac:dyDescent="0.25">
      <c r="B49" s="202" t="s">
        <v>65</v>
      </c>
      <c r="C49" s="203"/>
      <c r="D49" s="51"/>
      <c r="E49" s="10"/>
      <c r="F49" s="11"/>
      <c r="G49" s="10"/>
      <c r="H49" s="11"/>
    </row>
    <row r="50" spans="2:8" ht="33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3" customHeight="1" x14ac:dyDescent="0.25">
      <c r="B51" s="208" t="s">
        <v>67</v>
      </c>
      <c r="C51" s="209"/>
      <c r="D51" s="150" t="s">
        <v>266</v>
      </c>
      <c r="E51" s="150" t="s">
        <v>304</v>
      </c>
      <c r="F51" s="167">
        <v>530</v>
      </c>
      <c r="G51" s="150" t="s">
        <v>304</v>
      </c>
      <c r="H51" s="151">
        <f>13042.09+530</f>
        <v>13572.09</v>
      </c>
    </row>
    <row r="52" spans="2:8" x14ac:dyDescent="0.25">
      <c r="B52" s="208" t="s">
        <v>269</v>
      </c>
      <c r="C52" s="209"/>
      <c r="D52" s="108" t="s">
        <v>270</v>
      </c>
      <c r="E52" s="108"/>
      <c r="F52" s="152"/>
      <c r="G52" s="149" t="s">
        <v>267</v>
      </c>
      <c r="H52" s="152">
        <v>3590.43</v>
      </c>
    </row>
    <row r="53" spans="2:8" x14ac:dyDescent="0.25">
      <c r="B53" s="208" t="s">
        <v>68</v>
      </c>
      <c r="C53" s="209"/>
      <c r="D53" s="108" t="s">
        <v>272</v>
      </c>
      <c r="E53" s="108"/>
      <c r="F53" s="152"/>
      <c r="G53" s="149" t="s">
        <v>267</v>
      </c>
      <c r="H53" s="152">
        <f>1237.16+4793.05</f>
        <v>6030.21</v>
      </c>
    </row>
    <row r="54" spans="2:8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x14ac:dyDescent="0.25">
      <c r="B60" s="208" t="s">
        <v>69</v>
      </c>
      <c r="C60" s="209"/>
      <c r="D60" s="108" t="s">
        <v>272</v>
      </c>
      <c r="E60" s="161"/>
      <c r="F60" s="152"/>
      <c r="G60" s="161"/>
      <c r="H60" s="152"/>
    </row>
    <row r="61" spans="2:8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x14ac:dyDescent="0.25">
      <c r="B64" s="208" t="s">
        <v>305</v>
      </c>
      <c r="C64" s="209"/>
      <c r="D64" s="150"/>
      <c r="E64" s="150" t="s">
        <v>306</v>
      </c>
      <c r="F64" s="151">
        <v>3360</v>
      </c>
      <c r="G64" s="150" t="s">
        <v>306</v>
      </c>
      <c r="H64" s="151">
        <v>3360</v>
      </c>
    </row>
    <row r="65" spans="2:8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8" ht="33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8" ht="39.7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8" ht="40.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8" ht="78" customHeight="1" x14ac:dyDescent="0.25">
      <c r="B69" s="208" t="s">
        <v>54</v>
      </c>
      <c r="C69" s="209"/>
      <c r="D69" s="150" t="s">
        <v>266</v>
      </c>
      <c r="E69" s="150"/>
      <c r="F69" s="151"/>
      <c r="G69" s="150"/>
      <c r="H69" s="151">
        <v>9393.8700000000008</v>
      </c>
    </row>
    <row r="70" spans="2:8" x14ac:dyDescent="0.25">
      <c r="B70" s="208" t="s">
        <v>55</v>
      </c>
      <c r="C70" s="209"/>
      <c r="D70" s="108" t="s">
        <v>266</v>
      </c>
      <c r="E70" s="108"/>
      <c r="F70" s="152"/>
      <c r="G70" s="108"/>
      <c r="H70" s="152">
        <v>1814.87</v>
      </c>
    </row>
    <row r="71" spans="2:8" x14ac:dyDescent="0.25">
      <c r="B71" s="208" t="s">
        <v>56</v>
      </c>
      <c r="C71" s="209"/>
      <c r="D71" s="108" t="s">
        <v>266</v>
      </c>
      <c r="E71" s="108"/>
      <c r="F71" s="152"/>
      <c r="G71" s="108"/>
      <c r="H71" s="152"/>
    </row>
    <row r="72" spans="2:8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</row>
    <row r="73" spans="2:8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8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8" x14ac:dyDescent="0.25">
      <c r="B75" s="208" t="s">
        <v>307</v>
      </c>
      <c r="C75" s="209"/>
      <c r="D75" s="150"/>
      <c r="E75" s="150"/>
      <c r="F75" s="168"/>
      <c r="G75" s="150" t="s">
        <v>308</v>
      </c>
      <c r="H75" s="168">
        <v>19081.79</v>
      </c>
    </row>
    <row r="76" spans="2:8" x14ac:dyDescent="0.25">
      <c r="B76" s="243" t="s">
        <v>59</v>
      </c>
      <c r="C76" s="244"/>
      <c r="D76" s="108"/>
      <c r="E76" s="108"/>
      <c r="F76" s="162"/>
      <c r="G76" s="108"/>
      <c r="H76" s="162"/>
    </row>
    <row r="77" spans="2:8" ht="33" customHeight="1" x14ac:dyDescent="0.25">
      <c r="B77" s="208" t="s">
        <v>60</v>
      </c>
      <c r="C77" s="209"/>
      <c r="D77" s="108" t="s">
        <v>272</v>
      </c>
      <c r="E77" s="108"/>
      <c r="F77" s="154"/>
      <c r="G77" s="108" t="s">
        <v>271</v>
      </c>
      <c r="H77" s="154"/>
    </row>
    <row r="78" spans="2:8" ht="35.25" customHeight="1" x14ac:dyDescent="0.25">
      <c r="B78" s="208" t="s">
        <v>61</v>
      </c>
      <c r="C78" s="209"/>
      <c r="D78" s="108" t="s">
        <v>270</v>
      </c>
      <c r="E78" s="108"/>
      <c r="F78" s="154"/>
      <c r="G78" s="108" t="s">
        <v>271</v>
      </c>
      <c r="H78" s="154"/>
    </row>
    <row r="79" spans="2:8" ht="74.25" customHeight="1" x14ac:dyDescent="0.25">
      <c r="B79" s="208" t="s">
        <v>62</v>
      </c>
      <c r="C79" s="209"/>
      <c r="D79" s="150" t="s">
        <v>266</v>
      </c>
      <c r="E79" s="150"/>
      <c r="F79" s="151"/>
      <c r="G79" s="150" t="s">
        <v>271</v>
      </c>
      <c r="H79" s="151">
        <f>10539.53+7377.67+5164.37</f>
        <v>23081.57</v>
      </c>
    </row>
    <row r="80" spans="2:8" x14ac:dyDescent="0.25">
      <c r="B80" s="208" t="s">
        <v>290</v>
      </c>
      <c r="C80" s="209"/>
      <c r="D80" s="108" t="s">
        <v>291</v>
      </c>
      <c r="E80" s="161"/>
      <c r="F80" s="152"/>
      <c r="G80" s="108"/>
      <c r="H80" s="152">
        <v>30692.45</v>
      </c>
    </row>
    <row r="81" spans="2:8" x14ac:dyDescent="0.25">
      <c r="B81" s="208" t="s">
        <v>282</v>
      </c>
      <c r="C81" s="209"/>
      <c r="D81" s="108"/>
      <c r="E81" s="108"/>
      <c r="F81" s="154"/>
      <c r="G81" s="108"/>
      <c r="H81" s="154"/>
    </row>
    <row r="82" spans="2:8" x14ac:dyDescent="0.25">
      <c r="B82" s="243" t="s">
        <v>63</v>
      </c>
      <c r="C82" s="244"/>
      <c r="D82" s="153"/>
      <c r="E82" s="108"/>
      <c r="F82" s="152"/>
      <c r="G82" s="108" t="s">
        <v>271</v>
      </c>
      <c r="H82" s="152">
        <v>19282.73</v>
      </c>
    </row>
    <row r="83" spans="2:8" x14ac:dyDescent="0.25">
      <c r="B83" s="243" t="s">
        <v>64</v>
      </c>
      <c r="C83" s="244"/>
      <c r="D83" s="108"/>
      <c r="E83" s="108"/>
      <c r="F83" s="152"/>
      <c r="G83" s="108" t="s">
        <v>271</v>
      </c>
      <c r="H83" s="152">
        <v>15989.19</v>
      </c>
    </row>
    <row r="84" spans="2:8" x14ac:dyDescent="0.25">
      <c r="B84" s="243" t="s">
        <v>294</v>
      </c>
      <c r="C84" s="244"/>
      <c r="D84" s="108"/>
      <c r="E84" s="108"/>
      <c r="F84" s="162"/>
      <c r="G84" s="163"/>
      <c r="H84" s="162"/>
    </row>
    <row r="85" spans="2:8" x14ac:dyDescent="0.25">
      <c r="B85" s="208" t="s">
        <v>295</v>
      </c>
      <c r="C85" s="209"/>
      <c r="D85" s="153" t="s">
        <v>296</v>
      </c>
      <c r="E85" s="108"/>
      <c r="F85" s="152"/>
      <c r="G85" s="108"/>
      <c r="H85" s="152"/>
    </row>
    <row r="86" spans="2:8" x14ac:dyDescent="0.25">
      <c r="B86" s="208" t="s">
        <v>71</v>
      </c>
      <c r="C86" s="209"/>
      <c r="D86" s="153" t="s">
        <v>297</v>
      </c>
      <c r="E86" s="108"/>
      <c r="F86" s="152"/>
      <c r="G86" s="108"/>
      <c r="H86" s="152"/>
    </row>
    <row r="87" spans="2:8" x14ac:dyDescent="0.25">
      <c r="B87" s="208" t="s">
        <v>72</v>
      </c>
      <c r="C87" s="209"/>
      <c r="D87" s="108" t="s">
        <v>299</v>
      </c>
      <c r="E87" s="108"/>
      <c r="F87" s="152"/>
      <c r="G87" s="108" t="s">
        <v>309</v>
      </c>
      <c r="H87" s="152">
        <v>2315.16</v>
      </c>
    </row>
    <row r="88" spans="2:8" x14ac:dyDescent="0.25">
      <c r="B88" s="208" t="s">
        <v>301</v>
      </c>
      <c r="C88" s="209"/>
      <c r="D88" s="108" t="s">
        <v>291</v>
      </c>
      <c r="E88" s="108"/>
      <c r="F88" s="152"/>
      <c r="G88" s="108" t="s">
        <v>271</v>
      </c>
      <c r="H88" s="161">
        <v>18212.7</v>
      </c>
    </row>
    <row r="89" spans="2:8" x14ac:dyDescent="0.25">
      <c r="B89" s="208" t="s">
        <v>282</v>
      </c>
      <c r="C89" s="209"/>
      <c r="D89" s="108"/>
      <c r="E89" s="108"/>
      <c r="F89" s="154"/>
      <c r="G89" s="108"/>
      <c r="H89" s="154"/>
    </row>
    <row r="90" spans="2:8" x14ac:dyDescent="0.25">
      <c r="B90" s="208" t="s">
        <v>302</v>
      </c>
      <c r="C90" s="209"/>
      <c r="D90" s="108" t="s">
        <v>291</v>
      </c>
      <c r="E90" s="108"/>
      <c r="F90" s="152"/>
      <c r="G90" s="108" t="s">
        <v>310</v>
      </c>
      <c r="H90" s="152">
        <v>6644.51</v>
      </c>
    </row>
    <row r="91" spans="2:8" ht="16.5" customHeight="1" x14ac:dyDescent="0.25">
      <c r="B91" s="208" t="s">
        <v>311</v>
      </c>
      <c r="C91" s="209"/>
      <c r="D91" s="108"/>
      <c r="E91" s="108"/>
      <c r="F91" s="152"/>
      <c r="G91" s="108" t="s">
        <v>312</v>
      </c>
      <c r="H91" s="152">
        <v>5400</v>
      </c>
    </row>
    <row r="92" spans="2:8" ht="35.25" customHeight="1" x14ac:dyDescent="0.25">
      <c r="B92" s="208" t="s">
        <v>320</v>
      </c>
      <c r="C92" s="209"/>
      <c r="D92" s="108"/>
      <c r="E92" s="108"/>
      <c r="F92" s="152">
        <v>0</v>
      </c>
      <c r="G92" s="108"/>
      <c r="H92" s="152">
        <v>0</v>
      </c>
    </row>
    <row r="93" spans="2:8" x14ac:dyDescent="0.25">
      <c r="B93" s="206" t="s">
        <v>73</v>
      </c>
      <c r="C93" s="207"/>
      <c r="D93" s="108"/>
      <c r="E93" s="108"/>
      <c r="F93" s="165"/>
      <c r="G93" s="165"/>
      <c r="H93" s="165">
        <f>247341.5-46007.2</f>
        <v>201334.3</v>
      </c>
    </row>
    <row r="94" spans="2:8" x14ac:dyDescent="0.25">
      <c r="B94" s="9"/>
      <c r="C94" s="9"/>
      <c r="D94" s="5"/>
      <c r="E94" s="5"/>
      <c r="F94" s="15"/>
      <c r="G94" s="5"/>
      <c r="H94" s="15"/>
    </row>
    <row r="95" spans="2:8" x14ac:dyDescent="0.25">
      <c r="B95" s="201" t="s">
        <v>81</v>
      </c>
      <c r="C95" s="201"/>
      <c r="D95" s="201"/>
      <c r="E95" s="201"/>
      <c r="F95" s="201"/>
      <c r="G95" s="201"/>
    </row>
    <row r="96" spans="2:8" ht="63" customHeight="1" x14ac:dyDescent="0.25">
      <c r="B96" s="194" t="s">
        <v>29</v>
      </c>
      <c r="C96" s="194"/>
      <c r="D96" s="55" t="s">
        <v>30</v>
      </c>
      <c r="E96" s="55" t="s">
        <v>31</v>
      </c>
      <c r="F96" s="53" t="s">
        <v>82</v>
      </c>
      <c r="G96" s="53" t="s">
        <v>32</v>
      </c>
    </row>
    <row r="97" spans="2:8" x14ac:dyDescent="0.25">
      <c r="B97" s="181" t="s">
        <v>83</v>
      </c>
      <c r="C97" s="183"/>
      <c r="D97" s="51">
        <v>55765.8</v>
      </c>
      <c r="E97" s="51">
        <v>27464.99</v>
      </c>
      <c r="F97" s="51">
        <f>E97</f>
        <v>27464.99</v>
      </c>
      <c r="G97" s="56">
        <f>45161.14-13941.45</f>
        <v>31219.69</v>
      </c>
    </row>
    <row r="98" spans="2:8" x14ac:dyDescent="0.25">
      <c r="B98" s="181" t="s">
        <v>84</v>
      </c>
      <c r="C98" s="183"/>
      <c r="D98" s="51">
        <f>37479.44-2008.46+10150.98-572.23+11588.56-542.9+6727.27</f>
        <v>62822.66</v>
      </c>
      <c r="E98" s="51">
        <f>33083.08+9034.73+9897.91+3854.8</f>
        <v>55870.520000000004</v>
      </c>
      <c r="F98" s="51">
        <f t="shared" ref="F98:F103" si="0">E98</f>
        <v>55870.520000000004</v>
      </c>
      <c r="G98" s="56">
        <f>31998.16+8933.37+7908.72-2844+119.55-2491.2+117.18-9198+419.21+4180.37</f>
        <v>39143.360000000008</v>
      </c>
    </row>
    <row r="99" spans="2:8" ht="30" customHeight="1" x14ac:dyDescent="0.25">
      <c r="B99" s="174" t="s">
        <v>85</v>
      </c>
      <c r="C99" s="175"/>
      <c r="D99" s="51">
        <f>19528.13-12.77</f>
        <v>19515.36</v>
      </c>
      <c r="E99" s="51">
        <v>15752.42</v>
      </c>
      <c r="F99" s="51">
        <f t="shared" si="0"/>
        <v>15752.42</v>
      </c>
      <c r="G99" s="56">
        <f>16160.34-4882.19</f>
        <v>11278.150000000001</v>
      </c>
    </row>
    <row r="100" spans="2:8" ht="30" customHeight="1" x14ac:dyDescent="0.25">
      <c r="B100" s="174" t="s">
        <v>86</v>
      </c>
      <c r="C100" s="175"/>
      <c r="D100" s="51">
        <v>14.36</v>
      </c>
      <c r="E100" s="51">
        <v>20</v>
      </c>
      <c r="F100" s="51">
        <f t="shared" si="0"/>
        <v>20</v>
      </c>
      <c r="G100" s="56">
        <f>7.23-3.59</f>
        <v>3.6400000000000006</v>
      </c>
    </row>
    <row r="101" spans="2:8" x14ac:dyDescent="0.25">
      <c r="B101" s="174" t="s">
        <v>87</v>
      </c>
      <c r="C101" s="175"/>
      <c r="D101" s="51">
        <f>71360.88-2726.74</f>
        <v>68634.14</v>
      </c>
      <c r="E101" s="51">
        <f>1127.65+57715.28</f>
        <v>58842.93</v>
      </c>
      <c r="F101" s="51">
        <f t="shared" si="0"/>
        <v>58842.93</v>
      </c>
      <c r="G101" s="56">
        <f>8122.55+52192.49-17170.97+2679.33</f>
        <v>45823.4</v>
      </c>
    </row>
    <row r="102" spans="2:8" x14ac:dyDescent="0.25">
      <c r="B102" s="174" t="s">
        <v>88</v>
      </c>
      <c r="C102" s="175"/>
      <c r="D102" s="51">
        <f>3471.44-2.19</f>
        <v>3469.25</v>
      </c>
      <c r="E102" s="51">
        <v>2774.34</v>
      </c>
      <c r="F102" s="51">
        <f t="shared" si="0"/>
        <v>2774.34</v>
      </c>
      <c r="G102" s="56">
        <f>2818.93-867.89</f>
        <v>1951.04</v>
      </c>
    </row>
    <row r="103" spans="2:8" x14ac:dyDescent="0.25">
      <c r="B103" s="174" t="s">
        <v>150</v>
      </c>
      <c r="C103" s="175"/>
      <c r="D103" s="51">
        <v>14840</v>
      </c>
      <c r="E103" s="51">
        <v>16000.2</v>
      </c>
      <c r="F103" s="51">
        <f t="shared" si="0"/>
        <v>16000.2</v>
      </c>
      <c r="G103" s="56">
        <f>8785.05-3710</f>
        <v>5075.0499999999993</v>
      </c>
    </row>
    <row r="104" spans="2:8" x14ac:dyDescent="0.25">
      <c r="B104" s="174" t="s">
        <v>89</v>
      </c>
      <c r="C104" s="175"/>
      <c r="D104" s="51">
        <f>21900-25</f>
        <v>21875</v>
      </c>
      <c r="E104" s="51">
        <v>21011.919999999998</v>
      </c>
      <c r="F104" s="51">
        <f t="shared" ref="F104:F105" si="1">E104</f>
        <v>21011.919999999998</v>
      </c>
      <c r="G104" s="56">
        <f>18489.08-5475</f>
        <v>13014.080000000002</v>
      </c>
    </row>
    <row r="105" spans="2:8" ht="30" x14ac:dyDescent="0.25">
      <c r="B105" s="48" t="s">
        <v>81</v>
      </c>
      <c r="C105" s="49"/>
      <c r="D105" s="51">
        <f>-10.01</f>
        <v>-10.01</v>
      </c>
      <c r="E105" s="51">
        <f>4350.62</f>
        <v>4350.62</v>
      </c>
      <c r="F105" s="51">
        <f t="shared" si="1"/>
        <v>4350.62</v>
      </c>
      <c r="G105" s="56">
        <f>2306.56</f>
        <v>2306.56</v>
      </c>
    </row>
    <row r="106" spans="2:8" ht="18.75" customHeight="1" x14ac:dyDescent="0.25">
      <c r="B106" s="202" t="s">
        <v>90</v>
      </c>
      <c r="C106" s="203"/>
      <c r="D106" s="50">
        <f>SUM(D97:D105)</f>
        <v>246926.56</v>
      </c>
      <c r="E106" s="50">
        <f>SUM(E97:E105)</f>
        <v>202087.94</v>
      </c>
      <c r="F106" s="51">
        <f>E106</f>
        <v>202087.94</v>
      </c>
      <c r="G106" s="50">
        <f>SUM(G97:G105)</f>
        <v>149814.97000000003</v>
      </c>
    </row>
    <row r="107" spans="2:8" ht="29.25" customHeight="1" x14ac:dyDescent="0.25">
      <c r="B107" s="202" t="s">
        <v>260</v>
      </c>
      <c r="C107" s="203"/>
      <c r="D107" s="58">
        <f>D106+F118+E38+C141</f>
        <v>2512067.89</v>
      </c>
      <c r="E107" s="58">
        <f>E106+G118+F38+D141</f>
        <v>1757609.67</v>
      </c>
      <c r="F107" s="58">
        <f>E107</f>
        <v>1757609.67</v>
      </c>
      <c r="G107" s="58">
        <f>G38+G106+H118+F141</f>
        <v>1334291.55</v>
      </c>
    </row>
    <row r="108" spans="2:8" x14ac:dyDescent="0.25">
      <c r="B108" s="16"/>
      <c r="C108" s="16"/>
      <c r="D108" s="16"/>
      <c r="E108" s="17"/>
      <c r="F108" s="17"/>
      <c r="G108" s="17"/>
      <c r="H108" s="17"/>
    </row>
    <row r="109" spans="2:8" x14ac:dyDescent="0.25">
      <c r="B109" s="204" t="s">
        <v>92</v>
      </c>
      <c r="C109" s="201"/>
      <c r="D109" s="201"/>
      <c r="E109" s="201"/>
      <c r="F109" s="201"/>
    </row>
    <row r="110" spans="2:8" ht="38.25" customHeight="1" x14ac:dyDescent="0.25">
      <c r="B110" s="194" t="s">
        <v>29</v>
      </c>
      <c r="C110" s="194" t="s">
        <v>93</v>
      </c>
      <c r="D110" s="194"/>
      <c r="E110" s="205" t="s">
        <v>94</v>
      </c>
      <c r="F110" s="194" t="s">
        <v>30</v>
      </c>
      <c r="G110" s="194" t="s">
        <v>31</v>
      </c>
      <c r="H110" s="195" t="s">
        <v>95</v>
      </c>
    </row>
    <row r="111" spans="2:8" ht="35.25" customHeight="1" x14ac:dyDescent="0.25">
      <c r="B111" s="194"/>
      <c r="C111" s="55" t="s">
        <v>96</v>
      </c>
      <c r="D111" s="19" t="s">
        <v>97</v>
      </c>
      <c r="E111" s="205"/>
      <c r="F111" s="194"/>
      <c r="G111" s="194"/>
      <c r="H111" s="195"/>
    </row>
    <row r="112" spans="2:8" x14ac:dyDescent="0.25">
      <c r="B112" s="10" t="s">
        <v>98</v>
      </c>
      <c r="C112" s="51">
        <v>1400.08</v>
      </c>
      <c r="D112" s="42">
        <v>1439.26</v>
      </c>
      <c r="E112" s="110">
        <v>472.07</v>
      </c>
      <c r="F112" s="51">
        <f>680597.77-1092</f>
        <v>679505.77</v>
      </c>
      <c r="G112" s="51">
        <f>315263.56</f>
        <v>315263.56</v>
      </c>
      <c r="H112" s="51">
        <f>638321.43-257452.15</f>
        <v>380869.28</v>
      </c>
    </row>
    <row r="113" spans="2:8" x14ac:dyDescent="0.25">
      <c r="B113" s="10" t="s">
        <v>147</v>
      </c>
      <c r="C113" s="51">
        <v>22.15</v>
      </c>
      <c r="D113" s="42">
        <v>26.44</v>
      </c>
      <c r="E113" s="110">
        <v>3918.63</v>
      </c>
      <c r="F113" s="51">
        <f>295679.67+18451.12+19146.01+454.55+599.08-7947.49</f>
        <v>326382.94</v>
      </c>
      <c r="G113" s="51">
        <f>278517.03+17353.3-1421.37-7890.7</f>
        <v>286558.26</v>
      </c>
      <c r="H113" s="51">
        <f>257519.86+25307.62-21.96-51.81-83411+2656.22-10750.69-1053.63</f>
        <v>190194.60999999996</v>
      </c>
    </row>
    <row r="114" spans="2:8" x14ac:dyDescent="0.25">
      <c r="B114" s="10" t="s">
        <v>99</v>
      </c>
      <c r="C114" s="51">
        <v>18.43</v>
      </c>
      <c r="D114" s="42">
        <v>19.22</v>
      </c>
      <c r="E114" s="110">
        <v>10528.37</v>
      </c>
      <c r="F114" s="51">
        <f>107593.42-5588.57+4110.23+229.46+101482.49-5255.83+64580.74+3437.53</f>
        <v>270589.47000000009</v>
      </c>
      <c r="G114" s="51">
        <f>67772.57+5039.74+82665.33+69990.11</f>
        <v>225467.75</v>
      </c>
      <c r="H114" s="51">
        <f>71238.89+5762.81+89450.6+48865.32-23257.15-905.76-2282.26-229.46-25177.18+1375.5-17706.28+592.66</f>
        <v>147727.69</v>
      </c>
    </row>
    <row r="115" spans="2:8" x14ac:dyDescent="0.25">
      <c r="B115" s="10" t="s">
        <v>100</v>
      </c>
      <c r="C115" s="51">
        <v>12.31</v>
      </c>
      <c r="D115" s="42">
        <v>12.84</v>
      </c>
      <c r="E115" s="110">
        <v>14192.2</v>
      </c>
      <c r="F115" s="51">
        <f>110940.68-1213.92</f>
        <v>109726.76</v>
      </c>
      <c r="G115" s="51">
        <v>103845.94</v>
      </c>
      <c r="H115" s="51">
        <f>96539.91-28649.06+1314.23</f>
        <v>69205.08</v>
      </c>
    </row>
    <row r="116" spans="2:8" x14ac:dyDescent="0.25">
      <c r="B116" s="10" t="s">
        <v>101</v>
      </c>
      <c r="C116" s="51" t="s">
        <v>145</v>
      </c>
      <c r="D116" s="42" t="s">
        <v>146</v>
      </c>
      <c r="E116" s="110">
        <v>151046.79999999999</v>
      </c>
      <c r="F116" s="51">
        <f>70662.02+2182.58+313877.32-11770.86</f>
        <v>374951.06000000006</v>
      </c>
      <c r="G116" s="51">
        <f>69929.72+290791.25</f>
        <v>360720.97</v>
      </c>
      <c r="H116" s="51">
        <f>33991.16+254430.03-31270.16-926.46-77273.57+1595.15</f>
        <v>180546.15</v>
      </c>
    </row>
    <row r="117" spans="2:8" x14ac:dyDescent="0.25">
      <c r="B117" s="10" t="s">
        <v>102</v>
      </c>
      <c r="C117" s="51">
        <v>2.2999999999999998</v>
      </c>
      <c r="D117" s="42">
        <v>2.39</v>
      </c>
      <c r="E117" s="56">
        <v>0</v>
      </c>
      <c r="F117" s="51">
        <v>0</v>
      </c>
      <c r="G117" s="51">
        <v>0</v>
      </c>
      <c r="H117" s="51">
        <v>0</v>
      </c>
    </row>
    <row r="118" spans="2:8" x14ac:dyDescent="0.25">
      <c r="B118" s="11" t="s">
        <v>259</v>
      </c>
      <c r="C118" s="50"/>
      <c r="D118" s="42"/>
      <c r="E118" s="4"/>
      <c r="F118" s="50">
        <f>SUM(F112:F117)</f>
        <v>1761156.0000000002</v>
      </c>
      <c r="G118" s="50">
        <f>SUM(G112:G117)</f>
        <v>1291856.48</v>
      </c>
      <c r="H118" s="50">
        <f>SUM(H112:H117)</f>
        <v>968542.81</v>
      </c>
    </row>
    <row r="119" spans="2:8" x14ac:dyDescent="0.25">
      <c r="B119" s="16"/>
      <c r="C119" s="16"/>
      <c r="D119" s="16"/>
      <c r="E119" s="17"/>
      <c r="F119" s="17"/>
      <c r="G119" s="17"/>
      <c r="H119" s="17"/>
    </row>
    <row r="120" spans="2:8" x14ac:dyDescent="0.25">
      <c r="B120" s="16"/>
      <c r="C120" s="16" t="s">
        <v>244</v>
      </c>
      <c r="D120" s="16"/>
      <c r="E120" s="17"/>
      <c r="F120" s="17"/>
      <c r="G120" s="17"/>
      <c r="H120" s="17"/>
    </row>
    <row r="121" spans="2:8" x14ac:dyDescent="0.25">
      <c r="B121" s="137" t="s">
        <v>228</v>
      </c>
      <c r="C121" s="137" t="s">
        <v>229</v>
      </c>
      <c r="D121" s="137"/>
      <c r="E121" s="131" t="s">
        <v>230</v>
      </c>
      <c r="F121" s="17"/>
      <c r="G121" s="17"/>
      <c r="H121" s="17"/>
    </row>
    <row r="122" spans="2:8" x14ac:dyDescent="0.25">
      <c r="B122" s="133" t="s">
        <v>231</v>
      </c>
      <c r="C122" s="199"/>
      <c r="D122" s="200"/>
      <c r="E122" s="129"/>
      <c r="F122" s="17"/>
      <c r="G122" s="17"/>
      <c r="H122" s="17"/>
    </row>
    <row r="123" spans="2:8" x14ac:dyDescent="0.25">
      <c r="B123" s="133" t="s">
        <v>232</v>
      </c>
      <c r="C123" s="199"/>
      <c r="D123" s="200"/>
      <c r="E123" s="129"/>
      <c r="F123" s="17"/>
      <c r="G123" s="17"/>
      <c r="H123" s="17"/>
    </row>
    <row r="124" spans="2:8" x14ac:dyDescent="0.25">
      <c r="B124" s="133" t="s">
        <v>233</v>
      </c>
      <c r="C124" s="199"/>
      <c r="D124" s="200"/>
      <c r="E124" s="129"/>
      <c r="F124" s="17"/>
      <c r="G124" s="17"/>
      <c r="H124" s="17"/>
    </row>
    <row r="125" spans="2:8" x14ac:dyDescent="0.25">
      <c r="B125" s="133" t="s">
        <v>234</v>
      </c>
      <c r="C125" s="199"/>
      <c r="D125" s="200"/>
      <c r="E125" s="129"/>
      <c r="F125" s="17"/>
      <c r="G125" s="17"/>
      <c r="H125" s="17"/>
    </row>
    <row r="126" spans="2:8" x14ac:dyDescent="0.25">
      <c r="B126" s="133" t="s">
        <v>235</v>
      </c>
      <c r="C126" s="199"/>
      <c r="D126" s="200"/>
      <c r="E126" s="129"/>
      <c r="F126" s="17"/>
      <c r="G126" s="17"/>
      <c r="H126" s="17"/>
    </row>
    <row r="127" spans="2:8" x14ac:dyDescent="0.25">
      <c r="B127" s="133" t="s">
        <v>236</v>
      </c>
      <c r="C127" s="199"/>
      <c r="D127" s="200"/>
      <c r="E127" s="129"/>
      <c r="F127" s="17"/>
      <c r="G127" s="17"/>
      <c r="H127" s="17"/>
    </row>
    <row r="128" spans="2:8" x14ac:dyDescent="0.25">
      <c r="B128" s="133" t="s">
        <v>70</v>
      </c>
      <c r="C128" s="199">
        <v>3</v>
      </c>
      <c r="D128" s="200"/>
      <c r="E128" s="105">
        <v>100</v>
      </c>
      <c r="F128" s="17"/>
      <c r="G128" s="17"/>
      <c r="H128" s="17"/>
    </row>
    <row r="129" spans="1:8" x14ac:dyDescent="0.25">
      <c r="B129" s="133" t="s">
        <v>237</v>
      </c>
      <c r="C129" s="199"/>
      <c r="D129" s="200"/>
      <c r="E129" s="129"/>
      <c r="F129" s="17"/>
      <c r="G129" s="17"/>
      <c r="H129" s="17"/>
    </row>
    <row r="130" spans="1:8" x14ac:dyDescent="0.25">
      <c r="B130" s="133" t="s">
        <v>238</v>
      </c>
      <c r="C130" s="199"/>
      <c r="D130" s="200"/>
      <c r="E130" s="129"/>
      <c r="F130" s="17"/>
      <c r="G130" s="17"/>
      <c r="H130" s="17"/>
    </row>
    <row r="131" spans="1:8" x14ac:dyDescent="0.25">
      <c r="B131" s="133" t="s">
        <v>239</v>
      </c>
      <c r="C131" s="199"/>
      <c r="D131" s="200"/>
      <c r="E131" s="129"/>
      <c r="F131" s="17"/>
      <c r="G131" s="17"/>
      <c r="H131" s="17"/>
    </row>
    <row r="132" spans="1:8" x14ac:dyDescent="0.25">
      <c r="B132" s="133" t="s">
        <v>240</v>
      </c>
      <c r="C132" s="199"/>
      <c r="D132" s="200"/>
      <c r="E132" s="129"/>
      <c r="F132" s="17"/>
      <c r="G132" s="17"/>
      <c r="H132" s="17"/>
    </row>
    <row r="133" spans="1:8" x14ac:dyDescent="0.25">
      <c r="B133" s="133" t="s">
        <v>241</v>
      </c>
      <c r="C133" s="199"/>
      <c r="D133" s="200"/>
      <c r="E133" s="129"/>
      <c r="F133" s="17"/>
      <c r="G133" s="17"/>
      <c r="H133" s="17"/>
    </row>
    <row r="134" spans="1:8" x14ac:dyDescent="0.25">
      <c r="B134" s="133" t="s">
        <v>242</v>
      </c>
      <c r="C134" s="199"/>
      <c r="D134" s="200"/>
      <c r="E134" s="129"/>
      <c r="F134" s="17"/>
      <c r="G134" s="17"/>
      <c r="H134" s="17"/>
    </row>
    <row r="135" spans="1:8" x14ac:dyDescent="0.25">
      <c r="B135" s="133" t="s">
        <v>243</v>
      </c>
      <c r="C135" s="199"/>
      <c r="D135" s="200"/>
      <c r="E135" s="129"/>
      <c r="F135" s="17"/>
      <c r="G135" s="17"/>
      <c r="H135" s="17"/>
    </row>
    <row r="136" spans="1:8" x14ac:dyDescent="0.25">
      <c r="B136" s="139" t="s">
        <v>103</v>
      </c>
      <c r="C136" s="195">
        <f>SUM(C128:C135)</f>
        <v>3</v>
      </c>
      <c r="D136" s="195"/>
      <c r="E136" s="123">
        <f>SUM(E128:E135)</f>
        <v>100</v>
      </c>
      <c r="F136" s="9"/>
      <c r="G136" s="9"/>
    </row>
    <row r="137" spans="1:8" x14ac:dyDescent="0.25">
      <c r="A137" s="121"/>
      <c r="B137" s="12"/>
      <c r="C137" s="140"/>
      <c r="D137" s="140"/>
      <c r="E137" s="9"/>
      <c r="F137" s="9"/>
      <c r="G137" s="9"/>
    </row>
    <row r="138" spans="1:8" ht="44.25" customHeight="1" x14ac:dyDescent="0.25">
      <c r="B138" s="141"/>
      <c r="C138" s="136" t="s">
        <v>30</v>
      </c>
      <c r="D138" s="136" t="s">
        <v>31</v>
      </c>
      <c r="E138" s="135" t="s">
        <v>104</v>
      </c>
      <c r="F138" s="135" t="s">
        <v>32</v>
      </c>
    </row>
    <row r="139" spans="1:8" x14ac:dyDescent="0.25">
      <c r="B139" s="142" t="s">
        <v>105</v>
      </c>
      <c r="C139" s="132">
        <f>99037+2712.5</f>
        <v>101749.5</v>
      </c>
      <c r="D139" s="132">
        <v>81070.070000000007</v>
      </c>
      <c r="E139" s="132"/>
      <c r="F139" s="134">
        <f>79884.35-24866.75-1484</f>
        <v>53533.600000000006</v>
      </c>
    </row>
    <row r="140" spans="1:8" x14ac:dyDescent="0.25">
      <c r="B140" s="32" t="s">
        <v>106</v>
      </c>
      <c r="C140" s="51">
        <f>8496.49-2507.4</f>
        <v>5989.09</v>
      </c>
      <c r="D140" s="51">
        <v>7278.53</v>
      </c>
      <c r="E140" s="109"/>
      <c r="F140" s="56">
        <f>8881.05-2028.16+1335.6</f>
        <v>8188.49</v>
      </c>
    </row>
    <row r="141" spans="1:8" x14ac:dyDescent="0.25">
      <c r="B141" s="33" t="s">
        <v>107</v>
      </c>
      <c r="C141" s="50">
        <f>SUM(C139:C140)</f>
        <v>107738.59</v>
      </c>
      <c r="D141" s="50">
        <f>SUM(D139:D140)</f>
        <v>88348.6</v>
      </c>
      <c r="E141" s="109"/>
      <c r="F141" s="50">
        <f>SUM(F139:F140)</f>
        <v>61722.090000000004</v>
      </c>
    </row>
    <row r="143" spans="1:8" x14ac:dyDescent="0.25">
      <c r="B143" s="177" t="s">
        <v>108</v>
      </c>
      <c r="C143" s="178"/>
      <c r="D143" s="179"/>
      <c r="E143" s="196">
        <f>G107</f>
        <v>1334291.55</v>
      </c>
      <c r="F143" s="197"/>
    </row>
    <row r="145" spans="2:6" x14ac:dyDescent="0.25">
      <c r="B145" s="198" t="s">
        <v>109</v>
      </c>
      <c r="C145" s="198"/>
      <c r="D145" s="198"/>
      <c r="E145" s="193"/>
      <c r="F145" s="193"/>
    </row>
    <row r="146" spans="2:6" x14ac:dyDescent="0.25">
      <c r="B146" s="192" t="s">
        <v>110</v>
      </c>
      <c r="C146" s="192"/>
      <c r="D146" s="192"/>
      <c r="E146" s="193"/>
      <c r="F146" s="193"/>
    </row>
    <row r="147" spans="2:6" x14ac:dyDescent="0.25">
      <c r="B147" s="192" t="s">
        <v>111</v>
      </c>
      <c r="C147" s="192"/>
      <c r="D147" s="192"/>
      <c r="E147" s="193"/>
      <c r="F147" s="193"/>
    </row>
    <row r="148" spans="2:6" x14ac:dyDescent="0.25">
      <c r="B148" s="192" t="s">
        <v>112</v>
      </c>
      <c r="C148" s="192"/>
      <c r="D148" s="192"/>
      <c r="E148" s="193"/>
      <c r="F148" s="193"/>
    </row>
    <row r="149" spans="2:6" x14ac:dyDescent="0.25">
      <c r="B149" s="192" t="s">
        <v>113</v>
      </c>
      <c r="C149" s="192"/>
      <c r="D149" s="192"/>
      <c r="E149" s="193"/>
      <c r="F149" s="193"/>
    </row>
    <row r="151" spans="2:6" x14ac:dyDescent="0.25">
      <c r="B151" s="177" t="s">
        <v>114</v>
      </c>
      <c r="C151" s="178"/>
      <c r="D151" s="179"/>
      <c r="E151" s="193"/>
      <c r="F151" s="193"/>
    </row>
    <row r="153" spans="2:6" hidden="1" x14ac:dyDescent="0.25">
      <c r="B153" s="181" t="s">
        <v>123</v>
      </c>
      <c r="C153" s="183"/>
      <c r="D153" s="51" t="s">
        <v>124</v>
      </c>
      <c r="E153" s="176" t="s">
        <v>122</v>
      </c>
      <c r="F153" s="176"/>
    </row>
    <row r="154" spans="2:6" hidden="1" x14ac:dyDescent="0.25">
      <c r="B154" s="181" t="s">
        <v>125</v>
      </c>
      <c r="C154" s="183"/>
      <c r="D154" s="51" t="s">
        <v>126</v>
      </c>
      <c r="E154" s="176" t="s">
        <v>122</v>
      </c>
      <c r="F154" s="176"/>
    </row>
    <row r="155" spans="2:6" ht="30" hidden="1" customHeight="1" x14ac:dyDescent="0.25">
      <c r="B155" s="174" t="s">
        <v>127</v>
      </c>
      <c r="C155" s="175"/>
      <c r="D155" s="51" t="s">
        <v>128</v>
      </c>
      <c r="E155" s="176" t="s">
        <v>122</v>
      </c>
      <c r="F155" s="176"/>
    </row>
    <row r="156" spans="2:6" ht="30" hidden="1" customHeight="1" x14ac:dyDescent="0.25">
      <c r="B156" s="174" t="s">
        <v>129</v>
      </c>
      <c r="C156" s="175"/>
      <c r="D156" s="51" t="s">
        <v>130</v>
      </c>
      <c r="E156" s="176"/>
      <c r="F156" s="176"/>
    </row>
    <row r="157" spans="2:6" ht="30" hidden="1" x14ac:dyDescent="0.25">
      <c r="B157" s="174" t="s">
        <v>131</v>
      </c>
      <c r="C157" s="175"/>
      <c r="D157" s="24" t="s">
        <v>132</v>
      </c>
      <c r="E157" s="176" t="s">
        <v>133</v>
      </c>
      <c r="F157" s="176"/>
    </row>
    <row r="158" spans="2:6" hidden="1" x14ac:dyDescent="0.25">
      <c r="B158" s="181" t="s">
        <v>134</v>
      </c>
      <c r="C158" s="183"/>
      <c r="D158" s="10" t="s">
        <v>135</v>
      </c>
      <c r="E158" s="176"/>
      <c r="F158" s="176"/>
    </row>
    <row r="159" spans="2:6" ht="30" hidden="1" customHeight="1" x14ac:dyDescent="0.25">
      <c r="B159" s="174" t="s">
        <v>136</v>
      </c>
      <c r="C159" s="175"/>
      <c r="D159" s="10" t="s">
        <v>137</v>
      </c>
      <c r="E159" s="176"/>
      <c r="F159" s="176"/>
    </row>
    <row r="160" spans="2:6" ht="30" hidden="1" customHeight="1" x14ac:dyDescent="0.25">
      <c r="B160" s="174" t="s">
        <v>138</v>
      </c>
      <c r="C160" s="175"/>
      <c r="D160" s="51" t="s">
        <v>139</v>
      </c>
      <c r="E160" s="176"/>
      <c r="F160" s="176"/>
    </row>
    <row r="161" spans="2:8" x14ac:dyDescent="0.25">
      <c r="B161" s="177" t="s">
        <v>74</v>
      </c>
      <c r="C161" s="178"/>
      <c r="D161" s="179"/>
      <c r="E161" s="180">
        <v>320</v>
      </c>
      <c r="F161" s="180"/>
      <c r="G161" s="25"/>
      <c r="H161" s="25"/>
    </row>
    <row r="162" spans="2:8" x14ac:dyDescent="0.25">
      <c r="B162" s="181" t="s">
        <v>75</v>
      </c>
      <c r="C162" s="182"/>
      <c r="D162" s="183"/>
      <c r="E162" s="176"/>
      <c r="F162" s="176"/>
      <c r="G162" s="26"/>
      <c r="H162" s="26"/>
    </row>
    <row r="163" spans="2:8" x14ac:dyDescent="0.25">
      <c r="B163" s="181" t="s">
        <v>76</v>
      </c>
      <c r="C163" s="182"/>
      <c r="D163" s="183"/>
      <c r="E163" s="184">
        <v>320</v>
      </c>
      <c r="F163" s="184"/>
      <c r="G163" s="27"/>
      <c r="H163" s="27"/>
    </row>
    <row r="164" spans="2:8" x14ac:dyDescent="0.25">
      <c r="B164" s="181" t="s">
        <v>77</v>
      </c>
      <c r="C164" s="182"/>
      <c r="D164" s="183"/>
      <c r="E164" s="184"/>
      <c r="F164" s="184"/>
      <c r="G164" s="27"/>
      <c r="H164" s="27"/>
    </row>
    <row r="165" spans="2:8" x14ac:dyDescent="0.25">
      <c r="B165" s="177" t="s">
        <v>78</v>
      </c>
      <c r="C165" s="178"/>
      <c r="D165" s="179"/>
      <c r="E165" s="180"/>
      <c r="F165" s="180"/>
      <c r="G165" s="25"/>
      <c r="H165" s="25"/>
    </row>
    <row r="166" spans="2:8" x14ac:dyDescent="0.25">
      <c r="B166" s="181" t="s">
        <v>79</v>
      </c>
      <c r="C166" s="182"/>
      <c r="D166" s="183"/>
      <c r="E166" s="184">
        <v>5400</v>
      </c>
      <c r="F166" s="184"/>
      <c r="G166" s="27"/>
      <c r="H166" s="27"/>
    </row>
    <row r="167" spans="2:8" x14ac:dyDescent="0.25">
      <c r="B167" s="177" t="s">
        <v>80</v>
      </c>
      <c r="C167" s="178"/>
      <c r="D167" s="179"/>
      <c r="E167" s="184"/>
      <c r="F167" s="184"/>
      <c r="G167" s="27"/>
      <c r="H167" s="27"/>
    </row>
    <row r="168" spans="2:8" x14ac:dyDescent="0.25">
      <c r="B168" s="16"/>
      <c r="C168" s="16"/>
      <c r="D168" s="16"/>
      <c r="E168" s="17"/>
      <c r="F168" s="17"/>
      <c r="G168" s="17"/>
      <c r="H168" s="17"/>
    </row>
    <row r="169" spans="2:8" ht="36" customHeight="1" x14ac:dyDescent="0.25">
      <c r="B169" s="185" t="s">
        <v>115</v>
      </c>
      <c r="C169" s="186"/>
      <c r="D169" s="186"/>
      <c r="E169" s="186"/>
      <c r="F169" s="21" t="s">
        <v>116</v>
      </c>
    </row>
    <row r="170" spans="2:8" ht="14.45" customHeight="1" x14ac:dyDescent="0.25">
      <c r="B170" s="187" t="s">
        <v>117</v>
      </c>
      <c r="C170" s="188" t="s">
        <v>118</v>
      </c>
      <c r="D170" s="190" t="s">
        <v>119</v>
      </c>
      <c r="E170" s="191"/>
      <c r="F170" s="4"/>
    </row>
    <row r="171" spans="2:8" x14ac:dyDescent="0.25">
      <c r="B171" s="187"/>
      <c r="C171" s="189"/>
      <c r="D171" s="57" t="s">
        <v>120</v>
      </c>
      <c r="E171" s="57" t="s">
        <v>121</v>
      </c>
      <c r="F171" s="4"/>
    </row>
    <row r="172" spans="2:8" x14ac:dyDescent="0.25">
      <c r="B172" s="35"/>
      <c r="C172" s="34"/>
      <c r="D172" s="4"/>
      <c r="E172" s="4"/>
      <c r="F172" s="4"/>
    </row>
    <row r="173" spans="2:8" x14ac:dyDescent="0.25">
      <c r="B173" s="35"/>
      <c r="C173" s="34"/>
      <c r="D173" s="4"/>
      <c r="E173" s="4"/>
      <c r="F173" s="4"/>
    </row>
    <row r="174" spans="2:8" x14ac:dyDescent="0.25">
      <c r="B174" s="120"/>
      <c r="C174" s="120"/>
      <c r="D174" s="121"/>
      <c r="E174" s="121"/>
      <c r="F174" s="121"/>
      <c r="G174" s="121"/>
    </row>
    <row r="175" spans="2:8" x14ac:dyDescent="0.25">
      <c r="B175" s="120" t="s">
        <v>247</v>
      </c>
      <c r="C175" s="120"/>
      <c r="D175" s="121" t="s">
        <v>248</v>
      </c>
      <c r="E175" s="121"/>
      <c r="F175" s="121"/>
      <c r="G175" s="121"/>
    </row>
    <row r="176" spans="2:8" x14ac:dyDescent="0.25">
      <c r="B176" s="120"/>
      <c r="C176" s="120"/>
      <c r="D176" s="121"/>
      <c r="E176" s="121"/>
      <c r="F176" s="121"/>
      <c r="G176" s="121"/>
    </row>
  </sheetData>
  <mergeCells count="183"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93:C93"/>
    <mergeCell ref="B89:C89"/>
    <mergeCell ref="B90:C90"/>
    <mergeCell ref="B91:C91"/>
    <mergeCell ref="B92:C92"/>
    <mergeCell ref="B97:C97"/>
    <mergeCell ref="B98:C98"/>
    <mergeCell ref="B99:C99"/>
    <mergeCell ref="B100:C100"/>
    <mergeCell ref="B101:C101"/>
    <mergeCell ref="B102:C102"/>
    <mergeCell ref="B95:G95"/>
    <mergeCell ref="B96:C96"/>
    <mergeCell ref="C134:D134"/>
    <mergeCell ref="C135:D135"/>
    <mergeCell ref="C136:D136"/>
    <mergeCell ref="B103:C103"/>
    <mergeCell ref="B104:C104"/>
    <mergeCell ref="B106:C106"/>
    <mergeCell ref="B107:C107"/>
    <mergeCell ref="B109:F109"/>
    <mergeCell ref="B110:B111"/>
    <mergeCell ref="C110:D110"/>
    <mergeCell ref="E110:E111"/>
    <mergeCell ref="F110:F111"/>
    <mergeCell ref="B146:D146"/>
    <mergeCell ref="E146:F146"/>
    <mergeCell ref="B147:D147"/>
    <mergeCell ref="E147:F147"/>
    <mergeCell ref="B148:D148"/>
    <mergeCell ref="E148:F148"/>
    <mergeCell ref="G110:G111"/>
    <mergeCell ref="H110:H111"/>
    <mergeCell ref="B143:D143"/>
    <mergeCell ref="E143:F143"/>
    <mergeCell ref="B145:D145"/>
    <mergeCell ref="E145:F145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B154:C154"/>
    <mergeCell ref="E154:F154"/>
    <mergeCell ref="B155:C155"/>
    <mergeCell ref="E155:F155"/>
    <mergeCell ref="B156:C156"/>
    <mergeCell ref="E156:F156"/>
    <mergeCell ref="B149:D149"/>
    <mergeCell ref="E149:F149"/>
    <mergeCell ref="B151:D151"/>
    <mergeCell ref="E151:F151"/>
    <mergeCell ref="B153:C153"/>
    <mergeCell ref="E153:F153"/>
    <mergeCell ref="B167:D167"/>
    <mergeCell ref="E167:F167"/>
    <mergeCell ref="B169:E169"/>
    <mergeCell ref="B170:B171"/>
    <mergeCell ref="C170:C171"/>
    <mergeCell ref="D170:E170"/>
    <mergeCell ref="B163:D163"/>
    <mergeCell ref="E163:F163"/>
    <mergeCell ref="B164:D164"/>
    <mergeCell ref="E164:F164"/>
    <mergeCell ref="B165:D165"/>
    <mergeCell ref="E165:F165"/>
    <mergeCell ref="B160:C160"/>
    <mergeCell ref="E160:F160"/>
    <mergeCell ref="B161:D161"/>
    <mergeCell ref="E161:F161"/>
    <mergeCell ref="B162:D162"/>
    <mergeCell ref="E162:F162"/>
    <mergeCell ref="B157:C157"/>
    <mergeCell ref="B166:D166"/>
    <mergeCell ref="E166:F166"/>
    <mergeCell ref="E157:F157"/>
    <mergeCell ref="B158:C158"/>
    <mergeCell ref="E158:F158"/>
    <mergeCell ref="B159:C159"/>
    <mergeCell ref="E159:F159"/>
  </mergeCells>
  <pageMargins left="0.11811023622047245" right="0.11811023622047245" top="0.15748031496062992" bottom="0.15748031496062992" header="0.31496062992125984" footer="0.31496062992125984"/>
  <pageSetup paperSize="9" scale="51" orientation="portrait" r:id="rId1"/>
  <headerFooter alignWithMargins="0"/>
  <rowBreaks count="2" manualBreakCount="2">
    <brk id="80" max="7" man="1"/>
    <brk id="11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9"/>
  <sheetViews>
    <sheetView view="pageBreakPreview" topLeftCell="A15" zoomScale="70" zoomScaleSheetLayoutView="70" workbookViewId="0">
      <selection activeCell="B29" sqref="B29:G29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8" width="15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190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191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33668.300000000003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30989.3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2679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33668.300000000003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166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544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17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1467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224615.92</v>
      </c>
      <c r="E22" s="7">
        <v>224615.92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12142196.950000003</v>
      </c>
      <c r="E23" s="45">
        <f>E38+D100+C144</f>
        <v>5597099.6700000009</v>
      </c>
      <c r="F23" s="7">
        <f>D101+D102+D103+D104+D105+D106+D107+D108</f>
        <v>1016979.28</v>
      </c>
      <c r="G23" s="7">
        <f>F115+F116+F117+F118+F119+F120</f>
        <v>5528118.0000000009</v>
      </c>
      <c r="H23" s="2"/>
    </row>
    <row r="24" spans="1:8" x14ac:dyDescent="0.25">
      <c r="B24" s="223" t="s">
        <v>24</v>
      </c>
      <c r="C24" s="224"/>
      <c r="D24" s="43">
        <f>E24+F24+G24</f>
        <v>11057498.33</v>
      </c>
      <c r="E24" s="45">
        <f>F38+E100+D142+D143</f>
        <v>5415690.3300000001</v>
      </c>
      <c r="F24" s="7">
        <f>E101+E102+E104+E105+E108+E103+E106+E107</f>
        <v>1069755.3899999999</v>
      </c>
      <c r="G24" s="7">
        <f>G121</f>
        <v>4572052.6100000003</v>
      </c>
      <c r="H24" s="2"/>
    </row>
    <row r="25" spans="1:8" x14ac:dyDescent="0.25">
      <c r="B25" s="223" t="s">
        <v>25</v>
      </c>
      <c r="C25" s="224"/>
      <c r="D25" s="7">
        <f>E25+F25+G25</f>
        <v>10347384.84</v>
      </c>
      <c r="E25" s="7">
        <f>D144+4042622.6</f>
        <v>4705576.84</v>
      </c>
      <c r="F25" s="7">
        <f>F24</f>
        <v>1069755.3899999999</v>
      </c>
      <c r="G25" s="7">
        <f>G24</f>
        <v>4572052.6100000003</v>
      </c>
      <c r="H25" s="2"/>
    </row>
    <row r="26" spans="1:8" x14ac:dyDescent="0.25">
      <c r="B26" s="223" t="s">
        <v>249</v>
      </c>
      <c r="C26" s="224"/>
      <c r="D26" s="7">
        <f>E26+F26+G26</f>
        <v>1356355.7200000002</v>
      </c>
      <c r="E26" s="45">
        <f>G38+G100+F144</f>
        <v>387778.13</v>
      </c>
      <c r="F26" s="45">
        <f>G109-G100</f>
        <v>132359.60000000003</v>
      </c>
      <c r="G26" s="45">
        <f>H121</f>
        <v>836217.99000000011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572721.07999999996</v>
      </c>
      <c r="F31" s="40">
        <v>567008.55000000005</v>
      </c>
      <c r="G31" s="88">
        <f>77426.88-50512.76</f>
        <v>26914.120000000003</v>
      </c>
      <c r="H31" s="5"/>
    </row>
    <row r="32" spans="1:8" x14ac:dyDescent="0.25">
      <c r="B32" s="174" t="s">
        <v>34</v>
      </c>
      <c r="C32" s="212"/>
      <c r="D32" s="175"/>
      <c r="E32" s="88">
        <v>758655.76</v>
      </c>
      <c r="F32" s="40">
        <v>756426.74</v>
      </c>
      <c r="G32" s="88">
        <f>99471.32-65697.39</f>
        <v>33773.930000000008</v>
      </c>
      <c r="H32" s="5"/>
    </row>
    <row r="33" spans="2:8" x14ac:dyDescent="0.25">
      <c r="B33" s="174" t="s">
        <v>35</v>
      </c>
      <c r="C33" s="212"/>
      <c r="D33" s="175"/>
      <c r="E33" s="88">
        <v>461148.87</v>
      </c>
      <c r="F33" s="40">
        <v>457588.47999999998</v>
      </c>
      <c r="G33" s="88">
        <f>62939.87-40596.39</f>
        <v>22343.480000000003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1119050.55</v>
      </c>
      <c r="F35" s="40">
        <v>1092555.3500000001</v>
      </c>
      <c r="G35" s="88">
        <f>168158.79-102689.93+14.64</f>
        <v>65483.500000000015</v>
      </c>
      <c r="H35" s="5"/>
    </row>
    <row r="36" spans="2:8" x14ac:dyDescent="0.25">
      <c r="B36" s="174" t="s">
        <v>38</v>
      </c>
      <c r="C36" s="212"/>
      <c r="D36" s="175"/>
      <c r="E36" s="88">
        <v>792289.75</v>
      </c>
      <c r="F36" s="40">
        <f>768526.07+5920.6</f>
        <v>774446.66999999993</v>
      </c>
      <c r="G36" s="88">
        <f>119583.73+4939.72+10096.18-86190.94+12.27</f>
        <v>48440.959999999999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874954.48</v>
      </c>
      <c r="F37" s="40">
        <f>861829.43+4505.79</f>
        <v>866335.22000000009</v>
      </c>
      <c r="G37" s="88">
        <f>-12449.88+111435.79+9508.72-79457.28+11.31</f>
        <v>29048.659999999993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4578820.49</v>
      </c>
      <c r="F38" s="41">
        <f>SUM(F31:F37)</f>
        <v>4514361.01</v>
      </c>
      <c r="G38" s="41">
        <f>SUM(G31:G37)</f>
        <v>226004.65000000002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1792525.71</v>
      </c>
      <c r="G44" s="123"/>
      <c r="H44" s="123">
        <f t="shared" ref="H44" si="0">H45+H46+H47</f>
        <v>1599931.06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572721.07999999996</v>
      </c>
      <c r="G45" s="112"/>
      <c r="H45" s="105">
        <f>858100.5-75623.53</f>
        <v>782476.97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758655.76</v>
      </c>
      <c r="G46" s="112"/>
      <c r="H46" s="105">
        <f>499753.9-101790.08</f>
        <v>397963.82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461148.87</v>
      </c>
      <c r="G47" s="112"/>
      <c r="H47" s="105">
        <f>480593.9-61103.63</f>
        <v>419490.27</v>
      </c>
    </row>
    <row r="48" spans="2:8" hidden="1" x14ac:dyDescent="0.25">
      <c r="B48" s="174" t="s">
        <v>36</v>
      </c>
      <c r="C48" s="175"/>
      <c r="D48" s="88"/>
      <c r="E48" s="10"/>
      <c r="F48" s="14">
        <f>E34</f>
        <v>0</v>
      </c>
      <c r="G48" s="10"/>
      <c r="H48" s="14"/>
    </row>
    <row r="49" spans="2:8" x14ac:dyDescent="0.25">
      <c r="B49" s="202" t="s">
        <v>65</v>
      </c>
      <c r="C49" s="203"/>
      <c r="D49" s="88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352</v>
      </c>
      <c r="F51" s="151">
        <f>73933.9+1605+884</f>
        <v>76422.899999999994</v>
      </c>
      <c r="G51" s="150" t="s">
        <v>352</v>
      </c>
      <c r="H51" s="151">
        <f>73933.88+1605+884</f>
        <v>76422.880000000005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18883</v>
      </c>
      <c r="G52" s="149" t="s">
        <v>267</v>
      </c>
      <c r="H52" s="152">
        <v>22284.15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6440+30934.09</f>
        <v>37374.089999999997</v>
      </c>
      <c r="G53" s="149" t="s">
        <v>267</v>
      </c>
      <c r="H53" s="152">
        <f>7678.5+29748.22</f>
        <v>37426.720000000001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ht="16.5" customHeight="1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ht="16.5" customHeight="1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ht="16.5" customHeight="1" x14ac:dyDescent="0.25">
      <c r="B57" s="239" t="s">
        <v>353</v>
      </c>
      <c r="C57" s="240"/>
      <c r="D57" s="108" t="s">
        <v>272</v>
      </c>
      <c r="E57" s="108"/>
      <c r="F57" s="157"/>
      <c r="G57" s="155" t="s">
        <v>354</v>
      </c>
      <c r="H57" s="156">
        <v>33488</v>
      </c>
    </row>
    <row r="58" spans="2:8" ht="16.5" customHeight="1" x14ac:dyDescent="0.25">
      <c r="B58" s="239" t="s">
        <v>278</v>
      </c>
      <c r="C58" s="240"/>
      <c r="D58" s="108" t="s">
        <v>272</v>
      </c>
      <c r="E58" s="150" t="s">
        <v>355</v>
      </c>
      <c r="F58" s="158">
        <v>12480</v>
      </c>
      <c r="G58" s="159" t="s">
        <v>355</v>
      </c>
      <c r="H58" s="158">
        <v>12480</v>
      </c>
    </row>
    <row r="59" spans="2:8" ht="16.5" customHeight="1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ht="16.5" customHeight="1" x14ac:dyDescent="0.25">
      <c r="B60" s="208" t="s">
        <v>69</v>
      </c>
      <c r="C60" s="209"/>
      <c r="D60" s="108" t="s">
        <v>272</v>
      </c>
      <c r="E60" s="161" t="s">
        <v>356</v>
      </c>
      <c r="F60" s="152">
        <v>57637.5</v>
      </c>
      <c r="G60" s="161" t="s">
        <v>356</v>
      </c>
      <c r="H60" s="152">
        <v>57637.5</v>
      </c>
    </row>
    <row r="61" spans="2:8" ht="16.5" customHeight="1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ht="16.5" customHeight="1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ht="16.5" customHeight="1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ht="16.5" customHeight="1" x14ac:dyDescent="0.25">
      <c r="B64" s="208" t="s">
        <v>357</v>
      </c>
      <c r="C64" s="209"/>
      <c r="D64" s="150"/>
      <c r="E64" s="150"/>
      <c r="F64" s="151">
        <f>1260+3096.77+3082.34</f>
        <v>7439.1100000000006</v>
      </c>
      <c r="G64" s="150"/>
      <c r="H64" s="151">
        <f>1260+3096.77+3082.34+30000+8536.63+435.44</f>
        <v>46411.18</v>
      </c>
    </row>
    <row r="65" spans="2:8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8" ht="35.25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8" ht="37.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8" ht="35.2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8" ht="82.5" customHeight="1" x14ac:dyDescent="0.25">
      <c r="B69" s="208" t="s">
        <v>54</v>
      </c>
      <c r="C69" s="209"/>
      <c r="D69" s="150" t="s">
        <v>266</v>
      </c>
      <c r="E69" s="150" t="s">
        <v>271</v>
      </c>
      <c r="F69" s="151">
        <v>60523.22</v>
      </c>
      <c r="G69" s="150" t="s">
        <v>271</v>
      </c>
      <c r="H69" s="151">
        <v>58303.43</v>
      </c>
    </row>
    <row r="70" spans="2:8" x14ac:dyDescent="0.25">
      <c r="B70" s="208" t="s">
        <v>55</v>
      </c>
      <c r="C70" s="209"/>
      <c r="D70" s="108" t="s">
        <v>266</v>
      </c>
      <c r="E70" s="108" t="s">
        <v>358</v>
      </c>
      <c r="F70" s="152">
        <v>71148</v>
      </c>
      <c r="G70" s="108" t="s">
        <v>359</v>
      </c>
      <c r="H70" s="152">
        <f>30135.72+117980.67</f>
        <v>148116.39000000001</v>
      </c>
    </row>
    <row r="71" spans="2:8" x14ac:dyDescent="0.25">
      <c r="B71" s="208" t="s">
        <v>56</v>
      </c>
      <c r="C71" s="209"/>
      <c r="D71" s="108" t="s">
        <v>266</v>
      </c>
      <c r="E71" s="108" t="s">
        <v>271</v>
      </c>
      <c r="F71" s="152">
        <v>132237.82</v>
      </c>
      <c r="G71" s="108" t="s">
        <v>271</v>
      </c>
      <c r="H71" s="152">
        <v>132237.82</v>
      </c>
    </row>
    <row r="72" spans="2:8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</row>
    <row r="73" spans="2:8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8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8" ht="17.25" customHeight="1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8" ht="30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8" ht="33.75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8" ht="75.75" customHeight="1" x14ac:dyDescent="0.25">
      <c r="B78" s="208" t="s">
        <v>62</v>
      </c>
      <c r="C78" s="209"/>
      <c r="D78" s="150" t="s">
        <v>266</v>
      </c>
      <c r="E78" s="150" t="s">
        <v>271</v>
      </c>
      <c r="F78" s="151">
        <f>64802.64+45728.66+31789.98</f>
        <v>142321.28</v>
      </c>
      <c r="G78" s="150" t="s">
        <v>271</v>
      </c>
      <c r="H78" s="151">
        <f>65413.99+45789.79+32052.85</f>
        <v>143256.63</v>
      </c>
    </row>
    <row r="79" spans="2:8" x14ac:dyDescent="0.25">
      <c r="B79" s="208" t="s">
        <v>290</v>
      </c>
      <c r="C79" s="209"/>
      <c r="D79" s="108" t="s">
        <v>291</v>
      </c>
      <c r="E79" s="161" t="s">
        <v>360</v>
      </c>
      <c r="F79" s="152">
        <f>52533.43+84500.04+60297.55</f>
        <v>197331.02000000002</v>
      </c>
      <c r="G79" s="108" t="s">
        <v>361</v>
      </c>
      <c r="H79" s="152">
        <f>10534.97+39886.75+52533.43+219609.4+8098.12+36394.78</f>
        <v>367057.44999999995</v>
      </c>
    </row>
    <row r="80" spans="2:8" x14ac:dyDescent="0.25">
      <c r="B80" s="208" t="s">
        <v>282</v>
      </c>
      <c r="C80" s="209"/>
      <c r="D80" s="108"/>
      <c r="E80" s="108"/>
      <c r="F80" s="154"/>
      <c r="G80" s="108"/>
      <c r="H80" s="152"/>
    </row>
    <row r="81" spans="2:11" x14ac:dyDescent="0.25">
      <c r="B81" s="208" t="s">
        <v>362</v>
      </c>
      <c r="C81" s="209"/>
      <c r="D81" s="108"/>
      <c r="E81" s="108"/>
      <c r="F81" s="152">
        <v>22133.34</v>
      </c>
      <c r="G81" s="108"/>
      <c r="H81" s="152">
        <v>22133.34</v>
      </c>
    </row>
    <row r="82" spans="2:11" x14ac:dyDescent="0.25">
      <c r="B82" s="243" t="s">
        <v>63</v>
      </c>
      <c r="C82" s="244"/>
      <c r="D82" s="153"/>
      <c r="E82" s="108" t="s">
        <v>271</v>
      </c>
      <c r="F82" s="152">
        <v>119678.99</v>
      </c>
      <c r="G82" s="108" t="s">
        <v>271</v>
      </c>
      <c r="H82" s="152">
        <v>119678.99</v>
      </c>
      <c r="K82" s="5"/>
    </row>
    <row r="83" spans="2:11" x14ac:dyDescent="0.25">
      <c r="B83" s="243" t="s">
        <v>64</v>
      </c>
      <c r="C83" s="244"/>
      <c r="D83" s="108"/>
      <c r="E83" s="108" t="s">
        <v>271</v>
      </c>
      <c r="F83" s="152">
        <v>101483.38</v>
      </c>
      <c r="G83" s="108" t="s">
        <v>271</v>
      </c>
      <c r="H83" s="152">
        <v>99237.54</v>
      </c>
    </row>
    <row r="84" spans="2:11" x14ac:dyDescent="0.25">
      <c r="B84" s="243" t="s">
        <v>294</v>
      </c>
      <c r="C84" s="244"/>
      <c r="D84" s="108"/>
      <c r="E84" s="108"/>
      <c r="F84" s="162"/>
      <c r="G84" s="163"/>
      <c r="H84" s="162"/>
    </row>
    <row r="85" spans="2:11" ht="18" customHeight="1" x14ac:dyDescent="0.25">
      <c r="B85" s="208" t="s">
        <v>295</v>
      </c>
      <c r="C85" s="209"/>
      <c r="D85" s="153" t="s">
        <v>296</v>
      </c>
      <c r="E85" s="108"/>
      <c r="F85" s="152">
        <v>20174.41</v>
      </c>
      <c r="G85" s="108"/>
      <c r="H85" s="152">
        <v>18375.07</v>
      </c>
    </row>
    <row r="86" spans="2:11" ht="20.25" customHeight="1" x14ac:dyDescent="0.25">
      <c r="B86" s="208" t="s">
        <v>71</v>
      </c>
      <c r="C86" s="209"/>
      <c r="D86" s="153" t="s">
        <v>297</v>
      </c>
      <c r="E86" s="108" t="s">
        <v>298</v>
      </c>
      <c r="F86" s="152">
        <v>2820</v>
      </c>
      <c r="G86" s="108" t="s">
        <v>363</v>
      </c>
      <c r="H86" s="152">
        <v>2236.4</v>
      </c>
    </row>
    <row r="87" spans="2:11" ht="20.25" customHeight="1" x14ac:dyDescent="0.25">
      <c r="B87" s="208" t="s">
        <v>364</v>
      </c>
      <c r="C87" s="209"/>
      <c r="D87" s="153"/>
      <c r="E87" s="108"/>
      <c r="F87" s="152"/>
      <c r="G87" s="108" t="s">
        <v>365</v>
      </c>
      <c r="H87" s="152">
        <v>7000</v>
      </c>
    </row>
    <row r="88" spans="2:11" x14ac:dyDescent="0.25">
      <c r="B88" s="208" t="s">
        <v>72</v>
      </c>
      <c r="C88" s="209"/>
      <c r="D88" s="108" t="s">
        <v>299</v>
      </c>
      <c r="E88" s="108" t="s">
        <v>366</v>
      </c>
      <c r="F88" s="152">
        <v>14369.13</v>
      </c>
      <c r="G88" s="108" t="s">
        <v>366</v>
      </c>
      <c r="H88" s="152">
        <v>14369.13</v>
      </c>
    </row>
    <row r="89" spans="2:11" x14ac:dyDescent="0.25">
      <c r="B89" s="208" t="s">
        <v>301</v>
      </c>
      <c r="C89" s="209"/>
      <c r="D89" s="108" t="s">
        <v>291</v>
      </c>
      <c r="E89" s="108" t="s">
        <v>271</v>
      </c>
      <c r="F89" s="152">
        <v>113037.82</v>
      </c>
      <c r="G89" s="108" t="s">
        <v>271</v>
      </c>
      <c r="H89" s="161">
        <v>113037.82</v>
      </c>
    </row>
    <row r="90" spans="2:11" x14ac:dyDescent="0.25">
      <c r="B90" s="208" t="s">
        <v>282</v>
      </c>
      <c r="C90" s="209"/>
      <c r="D90" s="108"/>
      <c r="E90" s="108"/>
      <c r="F90" s="154"/>
      <c r="G90" s="108"/>
      <c r="H90" s="154"/>
    </row>
    <row r="91" spans="2:11" x14ac:dyDescent="0.25">
      <c r="B91" s="208" t="s">
        <v>302</v>
      </c>
      <c r="C91" s="209"/>
      <c r="D91" s="108" t="s">
        <v>291</v>
      </c>
      <c r="E91" s="108" t="s">
        <v>367</v>
      </c>
      <c r="F91" s="152">
        <v>47838.36</v>
      </c>
      <c r="G91" s="108" t="s">
        <v>367</v>
      </c>
      <c r="H91" s="152">
        <v>41239.379999999997</v>
      </c>
    </row>
    <row r="92" spans="2:11" x14ac:dyDescent="0.25">
      <c r="B92" s="208" t="s">
        <v>368</v>
      </c>
      <c r="C92" s="209"/>
      <c r="D92" s="108"/>
      <c r="E92" s="108"/>
      <c r="F92" s="152">
        <v>5000</v>
      </c>
      <c r="G92" s="108"/>
      <c r="H92" s="152">
        <v>5000</v>
      </c>
    </row>
    <row r="93" spans="2:11" x14ac:dyDescent="0.25">
      <c r="B93" s="208" t="s">
        <v>311</v>
      </c>
      <c r="C93" s="209"/>
      <c r="D93" s="108"/>
      <c r="E93" s="108" t="s">
        <v>369</v>
      </c>
      <c r="F93" s="152">
        <v>6480</v>
      </c>
      <c r="G93" s="108" t="s">
        <v>369</v>
      </c>
      <c r="H93" s="152">
        <v>6480</v>
      </c>
    </row>
    <row r="94" spans="2:11" x14ac:dyDescent="0.25">
      <c r="B94" s="208" t="s">
        <v>370</v>
      </c>
      <c r="C94" s="209"/>
      <c r="D94" s="108"/>
      <c r="E94" s="108" t="s">
        <v>371</v>
      </c>
      <c r="F94" s="152">
        <v>33660</v>
      </c>
      <c r="G94" s="108" t="s">
        <v>371</v>
      </c>
      <c r="H94" s="152">
        <v>33660</v>
      </c>
    </row>
    <row r="95" spans="2:11" ht="34.5" customHeight="1" x14ac:dyDescent="0.25">
      <c r="B95" s="208" t="s">
        <v>320</v>
      </c>
      <c r="C95" s="209"/>
      <c r="D95" s="108"/>
      <c r="E95" s="108"/>
      <c r="F95" s="152">
        <v>608487.51</v>
      </c>
      <c r="G95" s="108"/>
      <c r="H95" s="152">
        <v>608487.51</v>
      </c>
    </row>
    <row r="96" spans="2:11" x14ac:dyDescent="0.25">
      <c r="B96" s="206" t="s">
        <v>73</v>
      </c>
      <c r="C96" s="207"/>
      <c r="D96" s="108"/>
      <c r="E96" s="108"/>
      <c r="F96" s="165">
        <v>3656004.65</v>
      </c>
      <c r="G96" s="165"/>
      <c r="H96" s="165">
        <f>4042622.6-399307.1</f>
        <v>3643315.5</v>
      </c>
    </row>
    <row r="97" spans="2:8" x14ac:dyDescent="0.25">
      <c r="B97" s="9"/>
      <c r="C97" s="9"/>
      <c r="D97" s="5"/>
      <c r="E97" s="5"/>
      <c r="F97" s="15"/>
      <c r="G97" s="5"/>
      <c r="H97" s="15"/>
    </row>
    <row r="98" spans="2:8" x14ac:dyDescent="0.25">
      <c r="B98" s="201" t="s">
        <v>177</v>
      </c>
      <c r="C98" s="201"/>
      <c r="D98" s="201"/>
      <c r="E98" s="201"/>
      <c r="F98" s="201"/>
      <c r="G98" s="201"/>
    </row>
    <row r="99" spans="2:8" ht="63" customHeight="1" x14ac:dyDescent="0.25">
      <c r="B99" s="194" t="s">
        <v>29</v>
      </c>
      <c r="C99" s="194"/>
      <c r="D99" s="91" t="s">
        <v>30</v>
      </c>
      <c r="E99" s="91" t="s">
        <v>31</v>
      </c>
      <c r="F99" s="89" t="s">
        <v>82</v>
      </c>
      <c r="G99" s="89" t="s">
        <v>32</v>
      </c>
    </row>
    <row r="100" spans="2:8" x14ac:dyDescent="0.25">
      <c r="B100" s="181" t="s">
        <v>83</v>
      </c>
      <c r="C100" s="183"/>
      <c r="D100" s="88">
        <v>346385.07</v>
      </c>
      <c r="E100" s="88">
        <v>238375.08</v>
      </c>
      <c r="F100" s="88">
        <f>E100</f>
        <v>238375.08</v>
      </c>
      <c r="G100" s="85">
        <f>138976.06-86528.1+12.33</f>
        <v>52460.289999999994</v>
      </c>
    </row>
    <row r="101" spans="2:8" x14ac:dyDescent="0.25">
      <c r="B101" s="181" t="s">
        <v>84</v>
      </c>
      <c r="C101" s="183"/>
      <c r="D101" s="88">
        <f>152503.34-3236.94+41304.23-901.53+47153.67-932.26+79085.82</f>
        <v>314976.33</v>
      </c>
      <c r="E101" s="88">
        <f>154911.07+42213.66+47272.94+78920.57</f>
        <v>323318.24</v>
      </c>
      <c r="F101" s="88">
        <f t="shared" ref="F101:F108" si="1">E101</f>
        <v>323318.24</v>
      </c>
      <c r="G101" s="85">
        <f>55527.84+14859.64+15618.34-38088.46+681.03-10315.93+188.97-11776.86+198.09+2888.37</f>
        <v>29781.029999999992</v>
      </c>
    </row>
    <row r="102" spans="2:8" ht="30" customHeight="1" x14ac:dyDescent="0.25">
      <c r="B102" s="174" t="s">
        <v>85</v>
      </c>
      <c r="C102" s="175"/>
      <c r="D102" s="88">
        <f>119786.49+102.6</f>
        <v>119889.09000000001</v>
      </c>
      <c r="E102" s="88">
        <v>118259.36</v>
      </c>
      <c r="F102" s="88">
        <f t="shared" si="1"/>
        <v>118259.36</v>
      </c>
      <c r="G102" s="85">
        <f>48820.15-29971.17+4.32</f>
        <v>18853.300000000003</v>
      </c>
    </row>
    <row r="103" spans="2:8" ht="30" customHeight="1" x14ac:dyDescent="0.25">
      <c r="B103" s="174" t="s">
        <v>86</v>
      </c>
      <c r="C103" s="175"/>
      <c r="D103" s="88">
        <f>30590.59+32.48</f>
        <v>30623.07</v>
      </c>
      <c r="E103" s="88">
        <v>30448.54</v>
      </c>
      <c r="F103" s="88">
        <f t="shared" si="1"/>
        <v>30448.54</v>
      </c>
      <c r="G103" s="85">
        <f>12139.94-7743.91-5.16</f>
        <v>4390.8700000000008</v>
      </c>
    </row>
    <row r="104" spans="2:8" x14ac:dyDescent="0.25">
      <c r="B104" s="174" t="s">
        <v>87</v>
      </c>
      <c r="C104" s="175"/>
      <c r="D104" s="88">
        <f>-27.67+412794.63</f>
        <v>412766.96</v>
      </c>
      <c r="E104" s="88">
        <f>6161.36+422407.14</f>
        <v>428568.5</v>
      </c>
      <c r="F104" s="88">
        <f t="shared" si="1"/>
        <v>428568.5</v>
      </c>
      <c r="G104" s="85">
        <f>19123.95+141163.01-103194.57</f>
        <v>57092.390000000014</v>
      </c>
    </row>
    <row r="105" spans="2:8" x14ac:dyDescent="0.25">
      <c r="B105" s="174" t="s">
        <v>88</v>
      </c>
      <c r="C105" s="175"/>
      <c r="D105" s="88">
        <f>21314.74-0.75</f>
        <v>21313.99</v>
      </c>
      <c r="E105" s="88">
        <v>21017.45</v>
      </c>
      <c r="F105" s="88">
        <f t="shared" si="1"/>
        <v>21017.45</v>
      </c>
      <c r="G105" s="85">
        <f>8635.44-5328.3+0.75</f>
        <v>3307.8900000000003</v>
      </c>
    </row>
    <row r="106" spans="2:8" x14ac:dyDescent="0.25">
      <c r="B106" s="174" t="s">
        <v>150</v>
      </c>
      <c r="C106" s="175"/>
      <c r="D106" s="88">
        <f>63280-70</f>
        <v>63210</v>
      </c>
      <c r="E106" s="88">
        <f>66150.69+123.37</f>
        <v>66274.06</v>
      </c>
      <c r="F106" s="88">
        <f t="shared" si="1"/>
        <v>66274.06</v>
      </c>
      <c r="G106" s="85">
        <f>24214.89+721.02-15610</f>
        <v>9325.91</v>
      </c>
    </row>
    <row r="107" spans="2:8" x14ac:dyDescent="0.25">
      <c r="B107" s="174" t="s">
        <v>89</v>
      </c>
      <c r="C107" s="175"/>
      <c r="D107" s="88">
        <v>54199.839999999997</v>
      </c>
      <c r="E107" s="88">
        <v>55055.8</v>
      </c>
      <c r="F107" s="88">
        <f t="shared" si="1"/>
        <v>55055.8</v>
      </c>
      <c r="G107" s="85">
        <f>20556.73-13549.96</f>
        <v>7006.77</v>
      </c>
    </row>
    <row r="108" spans="2:8" ht="30" x14ac:dyDescent="0.25">
      <c r="B108" s="86" t="s">
        <v>81</v>
      </c>
      <c r="C108" s="87"/>
      <c r="D108" s="88"/>
      <c r="E108" s="88">
        <f>194.05+26553.04+28.64+37.71</f>
        <v>26813.439999999999</v>
      </c>
      <c r="F108" s="88">
        <f t="shared" si="1"/>
        <v>26813.439999999999</v>
      </c>
      <c r="G108" s="85">
        <f>341.92+1743.88+319.16+196.48</f>
        <v>2601.44</v>
      </c>
    </row>
    <row r="109" spans="2:8" ht="18.75" customHeight="1" x14ac:dyDescent="0.25">
      <c r="B109" s="202" t="s">
        <v>90</v>
      </c>
      <c r="C109" s="203"/>
      <c r="D109" s="90">
        <f>SUM(D100:D108)</f>
        <v>1363364.35</v>
      </c>
      <c r="E109" s="90">
        <f>SUM(E100:E108)</f>
        <v>1308130.47</v>
      </c>
      <c r="F109" s="88">
        <f>E109</f>
        <v>1308130.47</v>
      </c>
      <c r="G109" s="90">
        <f>SUM(G100:G108)</f>
        <v>184819.89</v>
      </c>
    </row>
    <row r="110" spans="2:8" x14ac:dyDescent="0.25">
      <c r="B110" s="202" t="s">
        <v>91</v>
      </c>
      <c r="C110" s="203"/>
      <c r="D110" s="96">
        <f>D109+F121+E38+C144</f>
        <v>12142196.950000001</v>
      </c>
      <c r="E110" s="96">
        <f>E109+G121+F38+D144</f>
        <v>11057498.33</v>
      </c>
      <c r="F110" s="96">
        <f>E110</f>
        <v>11057498.33</v>
      </c>
      <c r="G110" s="96">
        <f>G38+G109+H121+F144</f>
        <v>1356355.7200000002</v>
      </c>
    </row>
    <row r="111" spans="2:8" x14ac:dyDescent="0.25">
      <c r="B111" s="16"/>
      <c r="C111" s="16"/>
      <c r="D111" s="16"/>
      <c r="E111" s="17"/>
      <c r="F111" s="17"/>
      <c r="G111" s="17"/>
      <c r="H111" s="17"/>
    </row>
    <row r="112" spans="2:8" x14ac:dyDescent="0.25">
      <c r="B112" s="204" t="s">
        <v>176</v>
      </c>
      <c r="C112" s="201"/>
      <c r="D112" s="201"/>
      <c r="E112" s="201"/>
      <c r="F112" s="201"/>
    </row>
    <row r="113" spans="2:8" ht="38.25" customHeight="1" x14ac:dyDescent="0.25">
      <c r="B113" s="194" t="s">
        <v>29</v>
      </c>
      <c r="C113" s="194" t="s">
        <v>93</v>
      </c>
      <c r="D113" s="194"/>
      <c r="E113" s="205" t="s">
        <v>94</v>
      </c>
      <c r="F113" s="194" t="s">
        <v>30</v>
      </c>
      <c r="G113" s="194" t="s">
        <v>31</v>
      </c>
      <c r="H113" s="195" t="s">
        <v>95</v>
      </c>
    </row>
    <row r="114" spans="2:8" ht="35.25" customHeight="1" x14ac:dyDescent="0.25">
      <c r="B114" s="194"/>
      <c r="C114" s="91" t="s">
        <v>96</v>
      </c>
      <c r="D114" s="19" t="s">
        <v>97</v>
      </c>
      <c r="E114" s="205"/>
      <c r="F114" s="194"/>
      <c r="G114" s="194"/>
      <c r="H114" s="195"/>
    </row>
    <row r="115" spans="2:8" x14ac:dyDescent="0.25">
      <c r="B115" s="10" t="s">
        <v>98</v>
      </c>
      <c r="C115" s="88">
        <v>1400.08</v>
      </c>
      <c r="D115" s="42">
        <v>1439.26</v>
      </c>
      <c r="E115" s="110">
        <v>1963.77</v>
      </c>
      <c r="F115" s="88">
        <f>-4083.31+2826673.5-53020.75</f>
        <v>2769569.44</v>
      </c>
      <c r="G115" s="88">
        <f>38726.91+1623860.97</f>
        <v>1662587.88</v>
      </c>
      <c r="H115" s="88">
        <f>2788.23+1403502.75-1099500.29+34.07</f>
        <v>306824.75999999995</v>
      </c>
    </row>
    <row r="116" spans="2:8" x14ac:dyDescent="0.25">
      <c r="B116" s="10" t="s">
        <v>147</v>
      </c>
      <c r="C116" s="88">
        <v>22.15</v>
      </c>
      <c r="D116" s="42">
        <v>26.44</v>
      </c>
      <c r="E116" s="110">
        <v>9376.2800000000007</v>
      </c>
      <c r="F116" s="88">
        <f>872319.07-33322.67+87355.61+1879.32-198.18-8883.5</f>
        <v>919149.64999999979</v>
      </c>
      <c r="G116" s="88">
        <f>869061.81+135821.45+696.63-11959.92</f>
        <v>993619.97</v>
      </c>
      <c r="H116" s="88">
        <f>388648.04+60435.72-205.07-222748.63+6951.92-27155.57-3660.56</f>
        <v>202265.85</v>
      </c>
    </row>
    <row r="117" spans="2:8" x14ac:dyDescent="0.25">
      <c r="B117" s="10" t="s">
        <v>99</v>
      </c>
      <c r="C117" s="88">
        <v>18.43</v>
      </c>
      <c r="D117" s="42">
        <v>19.22</v>
      </c>
      <c r="E117" s="110">
        <v>14357.72</v>
      </c>
      <c r="F117" s="88">
        <f>10228.61-2746.79+16694.86+408.14+265907.8-243.17+163325.48-5062.86</f>
        <v>448512.07000000007</v>
      </c>
      <c r="G117" s="88">
        <f>11579.07+24599.93+275384.36+152620.3</f>
        <v>464183.66</v>
      </c>
      <c r="H117" s="88">
        <f>5983.25+10577.55+118918.85+66794.61-1474.52+39.38-5402.81-696.84-63661.99-577.54-44319.09+1011.4</f>
        <v>87192.250000000044</v>
      </c>
    </row>
    <row r="118" spans="2:8" x14ac:dyDescent="0.25">
      <c r="B118" s="10" t="s">
        <v>100</v>
      </c>
      <c r="C118" s="88">
        <v>12.31</v>
      </c>
      <c r="D118" s="42">
        <v>12.84</v>
      </c>
      <c r="E118" s="110">
        <v>22857.040000000001</v>
      </c>
      <c r="F118" s="88">
        <f>286931.77-4469.04-100.65</f>
        <v>282362.08</v>
      </c>
      <c r="G118" s="88">
        <f>287341.59+1803.52</f>
        <v>289145.11000000004</v>
      </c>
      <c r="H118" s="88">
        <f>129200.76+1009.79-72137.18+288.43</f>
        <v>58361.799999999996</v>
      </c>
    </row>
    <row r="119" spans="2:8" x14ac:dyDescent="0.25">
      <c r="B119" s="10" t="s">
        <v>101</v>
      </c>
      <c r="C119" s="88" t="s">
        <v>145</v>
      </c>
      <c r="D119" s="42" t="s">
        <v>146</v>
      </c>
      <c r="E119" s="110">
        <v>283652.53999999998</v>
      </c>
      <c r="F119" s="88">
        <f>189160.91+2780.64+830726.91-30742.14</f>
        <v>991926.32000000007</v>
      </c>
      <c r="G119" s="88">
        <f>223096.14+814272.54+165.58</f>
        <v>1037534.26</v>
      </c>
      <c r="H119" s="88">
        <f>91331.52+347450.53-331.66-44088.74+198.02-218729.62+1313.45</f>
        <v>177143.50000000012</v>
      </c>
    </row>
    <row r="120" spans="2:8" x14ac:dyDescent="0.25">
      <c r="B120" s="10" t="s">
        <v>102</v>
      </c>
      <c r="C120" s="88">
        <v>2.2999999999999998</v>
      </c>
      <c r="D120" s="42">
        <v>2.39</v>
      </c>
      <c r="E120" s="110">
        <f t="shared" ref="E120" si="2">F120/D120</f>
        <v>48785.958158995818</v>
      </c>
      <c r="F120" s="88">
        <f>124865.13-8266.69</f>
        <v>116598.44</v>
      </c>
      <c r="G120" s="88">
        <v>124981.73</v>
      </c>
      <c r="H120" s="88">
        <f>38024.73-33220.37-374.53</f>
        <v>4429.8300000000008</v>
      </c>
    </row>
    <row r="121" spans="2:8" x14ac:dyDescent="0.25">
      <c r="B121" s="11" t="s">
        <v>103</v>
      </c>
      <c r="C121" s="90"/>
      <c r="D121" s="42"/>
      <c r="E121" s="4"/>
      <c r="F121" s="90">
        <f>SUM(F115:F120)</f>
        <v>5528118.0000000009</v>
      </c>
      <c r="G121" s="90">
        <f>SUM(G115:G120)</f>
        <v>4572052.6100000003</v>
      </c>
      <c r="H121" s="90">
        <f>SUM(H115:H120)</f>
        <v>836217.99000000011</v>
      </c>
    </row>
    <row r="122" spans="2:8" x14ac:dyDescent="0.25">
      <c r="B122" s="16"/>
      <c r="C122" s="16"/>
      <c r="D122" s="16"/>
      <c r="E122" s="17"/>
      <c r="F122" s="17"/>
      <c r="G122" s="17"/>
      <c r="H122" s="17"/>
    </row>
    <row r="123" spans="2:8" x14ac:dyDescent="0.25">
      <c r="B123" s="16"/>
      <c r="C123" s="16" t="s">
        <v>244</v>
      </c>
      <c r="D123" s="16"/>
      <c r="E123" s="17"/>
      <c r="F123" s="17"/>
      <c r="G123" s="17"/>
      <c r="H123" s="17"/>
    </row>
    <row r="124" spans="2:8" x14ac:dyDescent="0.25">
      <c r="B124" s="137" t="s">
        <v>228</v>
      </c>
      <c r="C124" s="137" t="s">
        <v>229</v>
      </c>
      <c r="D124" s="137"/>
      <c r="E124" s="131" t="s">
        <v>230</v>
      </c>
      <c r="F124" s="17"/>
      <c r="G124" s="17"/>
      <c r="H124" s="17"/>
    </row>
    <row r="125" spans="2:8" x14ac:dyDescent="0.25">
      <c r="B125" s="133" t="s">
        <v>231</v>
      </c>
      <c r="C125" s="199">
        <v>20</v>
      </c>
      <c r="D125" s="200"/>
      <c r="E125" s="105">
        <v>100</v>
      </c>
      <c r="F125" s="17"/>
      <c r="G125" s="17"/>
      <c r="H125" s="17"/>
    </row>
    <row r="126" spans="2:8" x14ac:dyDescent="0.25">
      <c r="B126" s="133" t="s">
        <v>232</v>
      </c>
      <c r="C126" s="199">
        <v>31</v>
      </c>
      <c r="D126" s="200"/>
      <c r="E126" s="105">
        <v>100</v>
      </c>
      <c r="F126" s="17"/>
      <c r="G126" s="17"/>
      <c r="H126" s="17"/>
    </row>
    <row r="127" spans="2:8" x14ac:dyDescent="0.25">
      <c r="B127" s="133" t="s">
        <v>233</v>
      </c>
      <c r="C127" s="199"/>
      <c r="D127" s="200"/>
      <c r="E127" s="105"/>
      <c r="F127" s="17"/>
      <c r="G127" s="17"/>
      <c r="H127" s="17"/>
    </row>
    <row r="128" spans="2:8" x14ac:dyDescent="0.25">
      <c r="B128" s="133" t="s">
        <v>234</v>
      </c>
      <c r="C128" s="199">
        <v>6</v>
      </c>
      <c r="D128" s="200"/>
      <c r="E128" s="105">
        <v>100</v>
      </c>
      <c r="F128" s="17"/>
      <c r="G128" s="17"/>
      <c r="H128" s="17"/>
    </row>
    <row r="129" spans="2:8" x14ac:dyDescent="0.25">
      <c r="B129" s="133" t="s">
        <v>235</v>
      </c>
      <c r="C129" s="199">
        <v>3</v>
      </c>
      <c r="D129" s="200"/>
      <c r="E129" s="105">
        <v>100</v>
      </c>
      <c r="F129" s="17"/>
      <c r="G129" s="17"/>
      <c r="H129" s="17"/>
    </row>
    <row r="130" spans="2:8" x14ac:dyDescent="0.25">
      <c r="B130" s="133" t="s">
        <v>236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70</v>
      </c>
      <c r="C131" s="199">
        <v>16</v>
      </c>
      <c r="D131" s="200"/>
      <c r="E131" s="105">
        <v>100</v>
      </c>
      <c r="F131" s="17"/>
      <c r="G131" s="17"/>
      <c r="H131" s="17"/>
    </row>
    <row r="132" spans="2:8" x14ac:dyDescent="0.25">
      <c r="B132" s="133" t="s">
        <v>237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238</v>
      </c>
      <c r="C133" s="199">
        <v>7</v>
      </c>
      <c r="D133" s="200"/>
      <c r="E133" s="105">
        <v>100</v>
      </c>
      <c r="F133" s="17"/>
      <c r="G133" s="17"/>
      <c r="H133" s="17"/>
    </row>
    <row r="134" spans="2:8" x14ac:dyDescent="0.25">
      <c r="B134" s="133" t="s">
        <v>239</v>
      </c>
      <c r="C134" s="199"/>
      <c r="D134" s="200"/>
      <c r="E134" s="105"/>
      <c r="F134" s="17"/>
      <c r="G134" s="17"/>
      <c r="H134" s="17"/>
    </row>
    <row r="135" spans="2:8" x14ac:dyDescent="0.25">
      <c r="B135" s="133" t="s">
        <v>240</v>
      </c>
      <c r="C135" s="199"/>
      <c r="D135" s="200"/>
      <c r="E135" s="129"/>
      <c r="F135" s="17"/>
      <c r="G135" s="17"/>
      <c r="H135" s="17"/>
    </row>
    <row r="136" spans="2:8" x14ac:dyDescent="0.25">
      <c r="B136" s="133" t="s">
        <v>241</v>
      </c>
      <c r="C136" s="199"/>
      <c r="D136" s="200"/>
      <c r="E136" s="129"/>
      <c r="F136" s="17"/>
      <c r="G136" s="17"/>
      <c r="H136" s="17"/>
    </row>
    <row r="137" spans="2:8" x14ac:dyDescent="0.25">
      <c r="B137" s="133" t="s">
        <v>242</v>
      </c>
      <c r="C137" s="199"/>
      <c r="D137" s="200"/>
      <c r="E137" s="129"/>
      <c r="F137" s="17"/>
      <c r="G137" s="17"/>
      <c r="H137" s="17"/>
    </row>
    <row r="138" spans="2:8" x14ac:dyDescent="0.25">
      <c r="B138" s="133" t="s">
        <v>243</v>
      </c>
      <c r="C138" s="199"/>
      <c r="D138" s="200"/>
      <c r="E138" s="129"/>
      <c r="F138" s="17"/>
      <c r="G138" s="17"/>
      <c r="H138" s="17"/>
    </row>
    <row r="139" spans="2:8" x14ac:dyDescent="0.25">
      <c r="B139" s="139" t="s">
        <v>103</v>
      </c>
      <c r="C139" s="245">
        <f>SUM(C125:C138)</f>
        <v>83</v>
      </c>
      <c r="D139" s="246"/>
      <c r="E139" s="145">
        <v>100</v>
      </c>
      <c r="F139" s="9"/>
      <c r="G139" s="9"/>
      <c r="H139" s="17"/>
    </row>
    <row r="140" spans="2:8" x14ac:dyDescent="0.25">
      <c r="B140" s="12"/>
      <c r="C140" s="12"/>
      <c r="D140" s="9"/>
      <c r="E140" s="9"/>
      <c r="F140" s="9"/>
      <c r="G140" s="9"/>
    </row>
    <row r="141" spans="2:8" ht="44.25" customHeight="1" x14ac:dyDescent="0.25">
      <c r="B141" s="33"/>
      <c r="C141" s="90" t="s">
        <v>30</v>
      </c>
      <c r="D141" s="90" t="s">
        <v>31</v>
      </c>
      <c r="E141" s="89" t="s">
        <v>104</v>
      </c>
      <c r="F141" s="89" t="s">
        <v>32</v>
      </c>
    </row>
    <row r="142" spans="2:8" x14ac:dyDescent="0.25">
      <c r="B142" s="32" t="s">
        <v>105</v>
      </c>
      <c r="C142" s="88">
        <f>642491+6834</f>
        <v>649325</v>
      </c>
      <c r="D142" s="88">
        <f>631116.17+406.61+29.09</f>
        <v>631551.87</v>
      </c>
      <c r="E142" s="88"/>
      <c r="F142" s="85">
        <f>255354.26+4193.21+285.31-160924.5-1521</f>
        <v>97387.28</v>
      </c>
    </row>
    <row r="143" spans="2:8" x14ac:dyDescent="0.25">
      <c r="B143" s="32" t="s">
        <v>106</v>
      </c>
      <c r="C143" s="88">
        <f>29084.35-6515.24</f>
        <v>22569.11</v>
      </c>
      <c r="D143" s="88">
        <f>7.72+31394.65</f>
        <v>31402.370000000003</v>
      </c>
      <c r="E143" s="88"/>
      <c r="F143" s="85">
        <f>397.05+17033.98-6972.9+1467.78</f>
        <v>11925.91</v>
      </c>
    </row>
    <row r="144" spans="2:8" ht="28.5" x14ac:dyDescent="0.25">
      <c r="B144" s="33" t="s">
        <v>178</v>
      </c>
      <c r="C144" s="90">
        <f>SUM(C142:C143)</f>
        <v>671894.11</v>
      </c>
      <c r="D144" s="90">
        <f>SUM(D142:D143)</f>
        <v>662954.23999999999</v>
      </c>
      <c r="E144" s="90"/>
      <c r="F144" s="90">
        <f>SUM(F142:F143)</f>
        <v>109313.19</v>
      </c>
    </row>
    <row r="146" spans="2:6" x14ac:dyDescent="0.25">
      <c r="B146" s="177" t="s">
        <v>108</v>
      </c>
      <c r="C146" s="178"/>
      <c r="D146" s="179"/>
      <c r="E146" s="196">
        <f>G110</f>
        <v>1356355.7200000002</v>
      </c>
      <c r="F146" s="197"/>
    </row>
    <row r="148" spans="2:6" x14ac:dyDescent="0.25">
      <c r="B148" s="198" t="s">
        <v>109</v>
      </c>
      <c r="C148" s="198"/>
      <c r="D148" s="198"/>
      <c r="E148" s="193"/>
      <c r="F148" s="193"/>
    </row>
    <row r="149" spans="2:6" x14ac:dyDescent="0.25">
      <c r="B149" s="192" t="s">
        <v>110</v>
      </c>
      <c r="C149" s="192"/>
      <c r="D149" s="192"/>
      <c r="E149" s="193"/>
      <c r="F149" s="193"/>
    </row>
    <row r="150" spans="2:6" x14ac:dyDescent="0.25">
      <c r="B150" s="192" t="s">
        <v>111</v>
      </c>
      <c r="C150" s="192"/>
      <c r="D150" s="192"/>
      <c r="E150" s="193"/>
      <c r="F150" s="193"/>
    </row>
    <row r="151" spans="2:6" x14ac:dyDescent="0.25">
      <c r="B151" s="192" t="s">
        <v>112</v>
      </c>
      <c r="C151" s="192"/>
      <c r="D151" s="192"/>
      <c r="E151" s="193"/>
      <c r="F151" s="193"/>
    </row>
    <row r="152" spans="2:6" x14ac:dyDescent="0.25">
      <c r="B152" s="192" t="s">
        <v>113</v>
      </c>
      <c r="C152" s="192"/>
      <c r="D152" s="192"/>
      <c r="E152" s="193"/>
      <c r="F152" s="193"/>
    </row>
    <row r="154" spans="2:6" x14ac:dyDescent="0.25">
      <c r="B154" s="177" t="s">
        <v>114</v>
      </c>
      <c r="C154" s="178"/>
      <c r="D154" s="179"/>
      <c r="E154" s="193"/>
      <c r="F154" s="193"/>
    </row>
    <row r="156" spans="2:6" hidden="1" x14ac:dyDescent="0.25">
      <c r="B156" s="181" t="s">
        <v>123</v>
      </c>
      <c r="C156" s="183"/>
      <c r="D156" s="88" t="s">
        <v>124</v>
      </c>
      <c r="E156" s="176" t="s">
        <v>122</v>
      </c>
      <c r="F156" s="176"/>
    </row>
    <row r="157" spans="2:6" hidden="1" x14ac:dyDescent="0.25">
      <c r="B157" s="181" t="s">
        <v>125</v>
      </c>
      <c r="C157" s="183"/>
      <c r="D157" s="88" t="s">
        <v>126</v>
      </c>
      <c r="E157" s="176" t="s">
        <v>122</v>
      </c>
      <c r="F157" s="176"/>
    </row>
    <row r="158" spans="2:6" ht="30" hidden="1" customHeight="1" x14ac:dyDescent="0.25">
      <c r="B158" s="174" t="s">
        <v>127</v>
      </c>
      <c r="C158" s="175"/>
      <c r="D158" s="88" t="s">
        <v>128</v>
      </c>
      <c r="E158" s="176" t="s">
        <v>122</v>
      </c>
      <c r="F158" s="176"/>
    </row>
    <row r="159" spans="2:6" ht="30" hidden="1" customHeight="1" x14ac:dyDescent="0.25">
      <c r="B159" s="174" t="s">
        <v>129</v>
      </c>
      <c r="C159" s="175"/>
      <c r="D159" s="88" t="s">
        <v>130</v>
      </c>
      <c r="E159" s="176"/>
      <c r="F159" s="176"/>
    </row>
    <row r="160" spans="2:6" ht="30" hidden="1" x14ac:dyDescent="0.25">
      <c r="B160" s="174" t="s">
        <v>131</v>
      </c>
      <c r="C160" s="175"/>
      <c r="D160" s="24" t="s">
        <v>132</v>
      </c>
      <c r="E160" s="176" t="s">
        <v>133</v>
      </c>
      <c r="F160" s="176"/>
    </row>
    <row r="161" spans="2:8" hidden="1" x14ac:dyDescent="0.25">
      <c r="B161" s="181" t="s">
        <v>134</v>
      </c>
      <c r="C161" s="183"/>
      <c r="D161" s="10" t="s">
        <v>135</v>
      </c>
      <c r="E161" s="176"/>
      <c r="F161" s="176"/>
    </row>
    <row r="162" spans="2:8" ht="30" hidden="1" customHeight="1" x14ac:dyDescent="0.25">
      <c r="B162" s="174" t="s">
        <v>136</v>
      </c>
      <c r="C162" s="175"/>
      <c r="D162" s="10" t="s">
        <v>137</v>
      </c>
      <c r="E162" s="176"/>
      <c r="F162" s="176"/>
    </row>
    <row r="163" spans="2:8" ht="30" hidden="1" customHeight="1" x14ac:dyDescent="0.25">
      <c r="B163" s="174" t="s">
        <v>138</v>
      </c>
      <c r="C163" s="175"/>
      <c r="D163" s="88" t="s">
        <v>139</v>
      </c>
      <c r="E163" s="176"/>
      <c r="F163" s="176"/>
    </row>
    <row r="164" spans="2:8" x14ac:dyDescent="0.25">
      <c r="B164" s="177" t="s">
        <v>74</v>
      </c>
      <c r="C164" s="178"/>
      <c r="D164" s="179"/>
      <c r="E164" s="180">
        <v>3920</v>
      </c>
      <c r="F164" s="180"/>
      <c r="G164" s="25"/>
      <c r="H164" s="25"/>
    </row>
    <row r="165" spans="2:8" x14ac:dyDescent="0.25">
      <c r="B165" s="181" t="s">
        <v>75</v>
      </c>
      <c r="C165" s="182"/>
      <c r="D165" s="183"/>
      <c r="E165" s="176"/>
      <c r="F165" s="176"/>
      <c r="G165" s="26"/>
      <c r="H165" s="26"/>
    </row>
    <row r="166" spans="2:8" x14ac:dyDescent="0.25">
      <c r="B166" s="181" t="s">
        <v>76</v>
      </c>
      <c r="C166" s="182"/>
      <c r="D166" s="183"/>
      <c r="E166" s="184">
        <v>2720</v>
      </c>
      <c r="F166" s="184"/>
      <c r="G166" s="27"/>
      <c r="H166" s="27"/>
    </row>
    <row r="167" spans="2:8" x14ac:dyDescent="0.25">
      <c r="B167" s="181" t="s">
        <v>77</v>
      </c>
      <c r="C167" s="182"/>
      <c r="D167" s="183"/>
      <c r="E167" s="184"/>
      <c r="F167" s="184"/>
      <c r="G167" s="27"/>
      <c r="H167" s="27"/>
    </row>
    <row r="168" spans="2:8" x14ac:dyDescent="0.25">
      <c r="B168" s="177" t="s">
        <v>78</v>
      </c>
      <c r="C168" s="178"/>
      <c r="D168" s="179"/>
      <c r="E168" s="180"/>
      <c r="F168" s="180"/>
      <c r="G168" s="25"/>
      <c r="H168" s="25"/>
    </row>
    <row r="169" spans="2:8" x14ac:dyDescent="0.25">
      <c r="B169" s="181" t="s">
        <v>79</v>
      </c>
      <c r="C169" s="182"/>
      <c r="D169" s="183"/>
      <c r="E169" s="184">
        <v>6480</v>
      </c>
      <c r="F169" s="184"/>
      <c r="G169" s="27"/>
      <c r="H169" s="27"/>
    </row>
    <row r="170" spans="2:8" x14ac:dyDescent="0.25">
      <c r="B170" s="177" t="s">
        <v>80</v>
      </c>
      <c r="C170" s="178"/>
      <c r="D170" s="179"/>
      <c r="E170" s="184"/>
      <c r="F170" s="184"/>
      <c r="G170" s="27"/>
      <c r="H170" s="27"/>
    </row>
    <row r="171" spans="2:8" x14ac:dyDescent="0.25">
      <c r="B171" s="16"/>
      <c r="C171" s="16"/>
      <c r="D171" s="16"/>
      <c r="E171" s="17"/>
      <c r="F171" s="17"/>
      <c r="G171" s="17"/>
      <c r="H171" s="17"/>
    </row>
    <row r="172" spans="2:8" ht="36" customHeight="1" x14ac:dyDescent="0.25">
      <c r="B172" s="185" t="s">
        <v>115</v>
      </c>
      <c r="C172" s="186"/>
      <c r="D172" s="186"/>
      <c r="E172" s="186"/>
      <c r="F172" s="21" t="s">
        <v>116</v>
      </c>
    </row>
    <row r="173" spans="2:8" ht="14.45" customHeight="1" x14ac:dyDescent="0.25">
      <c r="B173" s="187" t="s">
        <v>117</v>
      </c>
      <c r="C173" s="188" t="s">
        <v>118</v>
      </c>
      <c r="D173" s="190" t="s">
        <v>119</v>
      </c>
      <c r="E173" s="191"/>
      <c r="F173" s="4"/>
    </row>
    <row r="174" spans="2:8" x14ac:dyDescent="0.25">
      <c r="B174" s="187"/>
      <c r="C174" s="189"/>
      <c r="D174" s="83" t="s">
        <v>120</v>
      </c>
      <c r="E174" s="83" t="s">
        <v>121</v>
      </c>
      <c r="F174" s="4"/>
    </row>
    <row r="175" spans="2:8" x14ac:dyDescent="0.25">
      <c r="B175" s="35"/>
      <c r="C175" s="34"/>
      <c r="D175" s="4"/>
      <c r="E175" s="4"/>
      <c r="F175" s="4"/>
    </row>
    <row r="176" spans="2:8" x14ac:dyDescent="0.25">
      <c r="B176" s="35"/>
      <c r="C176" s="35"/>
      <c r="D176" s="4"/>
      <c r="E176" s="4"/>
      <c r="F176" s="4"/>
    </row>
    <row r="177" spans="2:6" x14ac:dyDescent="0.25">
      <c r="B177" s="120"/>
      <c r="C177" s="120"/>
      <c r="D177" s="121"/>
      <c r="E177" s="121"/>
      <c r="F177" s="121"/>
    </row>
    <row r="178" spans="2:6" x14ac:dyDescent="0.25">
      <c r="B178" s="120" t="s">
        <v>247</v>
      </c>
      <c r="C178" s="120"/>
      <c r="D178" s="121" t="s">
        <v>248</v>
      </c>
      <c r="E178" s="121"/>
      <c r="F178" s="121"/>
    </row>
    <row r="179" spans="2:6" x14ac:dyDescent="0.25">
      <c r="B179" s="120"/>
      <c r="C179" s="120"/>
      <c r="D179" s="121"/>
      <c r="E179" s="121"/>
      <c r="F179" s="121"/>
    </row>
  </sheetData>
  <mergeCells count="186">
    <mergeCell ref="B169:D169"/>
    <mergeCell ref="E169:F169"/>
    <mergeCell ref="B170:D170"/>
    <mergeCell ref="E170:F170"/>
    <mergeCell ref="B172:E172"/>
    <mergeCell ref="B173:B174"/>
    <mergeCell ref="C173:C174"/>
    <mergeCell ref="D173:E173"/>
    <mergeCell ref="B166:D166"/>
    <mergeCell ref="E166:F166"/>
    <mergeCell ref="B167:D167"/>
    <mergeCell ref="E167:F167"/>
    <mergeCell ref="B168:D168"/>
    <mergeCell ref="E168:F168"/>
    <mergeCell ref="B163:C163"/>
    <mergeCell ref="E163:F163"/>
    <mergeCell ref="B164:D164"/>
    <mergeCell ref="E164:F164"/>
    <mergeCell ref="B165:D165"/>
    <mergeCell ref="E165:F165"/>
    <mergeCell ref="B160:C160"/>
    <mergeCell ref="E160:F160"/>
    <mergeCell ref="B161:C161"/>
    <mergeCell ref="E161:F161"/>
    <mergeCell ref="B162:C162"/>
    <mergeCell ref="E162:F162"/>
    <mergeCell ref="B157:C157"/>
    <mergeCell ref="E157:F157"/>
    <mergeCell ref="B158:C158"/>
    <mergeCell ref="E158:F158"/>
    <mergeCell ref="B159:C159"/>
    <mergeCell ref="E159:F159"/>
    <mergeCell ref="B152:D152"/>
    <mergeCell ref="E152:F152"/>
    <mergeCell ref="B154:D154"/>
    <mergeCell ref="E154:F154"/>
    <mergeCell ref="B156:C156"/>
    <mergeCell ref="E156:F156"/>
    <mergeCell ref="B149:D149"/>
    <mergeCell ref="E149:F149"/>
    <mergeCell ref="B150:D150"/>
    <mergeCell ref="E150:F150"/>
    <mergeCell ref="B151:D151"/>
    <mergeCell ref="E151:F151"/>
    <mergeCell ref="G113:G114"/>
    <mergeCell ref="H113:H114"/>
    <mergeCell ref="B146:D146"/>
    <mergeCell ref="E146:F146"/>
    <mergeCell ref="B148:D148"/>
    <mergeCell ref="E148:F148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B106:C106"/>
    <mergeCell ref="B107:C107"/>
    <mergeCell ref="B109:C109"/>
    <mergeCell ref="B110:C110"/>
    <mergeCell ref="B112:F112"/>
    <mergeCell ref="B113:B114"/>
    <mergeCell ref="C113:D113"/>
    <mergeCell ref="E113:E114"/>
    <mergeCell ref="F113:F114"/>
    <mergeCell ref="B100:C100"/>
    <mergeCell ref="B101:C101"/>
    <mergeCell ref="B102:C102"/>
    <mergeCell ref="B103:C103"/>
    <mergeCell ref="B104:C104"/>
    <mergeCell ref="B105:C105"/>
    <mergeCell ref="B96:C96"/>
    <mergeCell ref="B98:G98"/>
    <mergeCell ref="B99:C99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51:C51"/>
    <mergeCell ref="B52:C52"/>
    <mergeCell ref="B53:C53"/>
    <mergeCell ref="B54:C54"/>
    <mergeCell ref="B65:C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C137:D137"/>
    <mergeCell ref="C138:D138"/>
    <mergeCell ref="C139:D139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1" max="7" man="1"/>
    <brk id="12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6"/>
  <sheetViews>
    <sheetView view="pageBreakPreview" topLeftCell="A6" zoomScale="70" zoomScaleSheetLayoutView="70" workbookViewId="0">
      <selection activeCell="B28" sqref="B28:G28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6.1406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172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173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13491.4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13491.4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/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13491.4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170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297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20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704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76" t="s">
        <v>20</v>
      </c>
      <c r="F21" s="76" t="s">
        <v>21</v>
      </c>
      <c r="G21" s="76" t="s">
        <v>19</v>
      </c>
      <c r="H21" s="31"/>
    </row>
    <row r="22" spans="1:8" x14ac:dyDescent="0.25">
      <c r="B22" s="223" t="s">
        <v>22</v>
      </c>
      <c r="C22" s="224"/>
      <c r="D22" s="7">
        <f>E22</f>
        <v>186512.66</v>
      </c>
      <c r="E22" s="7">
        <v>186512.66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5170288.5500000007</v>
      </c>
      <c r="E23" s="45">
        <f>E38+D98+C142</f>
        <v>2291656.9299999997</v>
      </c>
      <c r="F23" s="7">
        <f>D99+D100+D101+D102+D103+D104+D105+D106</f>
        <v>281991.64</v>
      </c>
      <c r="G23" s="7">
        <f>F113+F114+F115+F116+F117+F118</f>
        <v>2596639.9800000004</v>
      </c>
      <c r="H23" s="2"/>
    </row>
    <row r="24" spans="1:8" x14ac:dyDescent="0.25">
      <c r="B24" s="223" t="s">
        <v>24</v>
      </c>
      <c r="C24" s="224"/>
      <c r="D24" s="43">
        <f>E24+F24+G24</f>
        <v>4676123.7310000006</v>
      </c>
      <c r="E24" s="45">
        <f>F38+E98+D140+D141</f>
        <v>2246812.4609999997</v>
      </c>
      <c r="F24" s="7">
        <f>E99+E100+E102+E103+E106+E101+E104+E105</f>
        <v>293625.65999999997</v>
      </c>
      <c r="G24" s="7">
        <f>G119</f>
        <v>2135685.6100000003</v>
      </c>
      <c r="H24" s="2"/>
    </row>
    <row r="25" spans="1:8" x14ac:dyDescent="0.25">
      <c r="B25" s="223" t="s">
        <v>25</v>
      </c>
      <c r="C25" s="224"/>
      <c r="D25" s="7">
        <f>E25+F25+G25</f>
        <v>4758608.591</v>
      </c>
      <c r="E25" s="7">
        <f>D142+2057122.3</f>
        <v>2329297.321</v>
      </c>
      <c r="F25" s="7">
        <f>F24</f>
        <v>293625.65999999997</v>
      </c>
      <c r="G25" s="7">
        <f>G24</f>
        <v>2135685.6100000003</v>
      </c>
      <c r="H25" s="2"/>
    </row>
    <row r="26" spans="1:8" x14ac:dyDescent="0.25">
      <c r="B26" s="223" t="s">
        <v>255</v>
      </c>
      <c r="C26" s="224"/>
      <c r="D26" s="7">
        <f>E26+F26+G26</f>
        <v>1054509.48</v>
      </c>
      <c r="E26" s="45">
        <f>G38+G98+F142</f>
        <v>285619.11</v>
      </c>
      <c r="F26" s="45">
        <f>G107-G98</f>
        <v>66912.12</v>
      </c>
      <c r="G26" s="45">
        <f>H119</f>
        <v>701978.25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28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79" t="s">
        <v>30</v>
      </c>
      <c r="F30" s="78" t="s">
        <v>31</v>
      </c>
      <c r="G30" s="77" t="s">
        <v>32</v>
      </c>
      <c r="H30" s="9"/>
    </row>
    <row r="31" spans="1:8" x14ac:dyDescent="0.25">
      <c r="B31" s="174" t="s">
        <v>33</v>
      </c>
      <c r="C31" s="212"/>
      <c r="D31" s="175"/>
      <c r="E31" s="75">
        <v>237272.76</v>
      </c>
      <c r="F31" s="40">
        <v>234896.28</v>
      </c>
      <c r="G31" s="75">
        <f>43720.15-20932.46</f>
        <v>22787.690000000002</v>
      </c>
      <c r="H31" s="5"/>
    </row>
    <row r="32" spans="1:8" x14ac:dyDescent="0.25">
      <c r="B32" s="174" t="s">
        <v>34</v>
      </c>
      <c r="C32" s="212"/>
      <c r="D32" s="175"/>
      <c r="E32" s="75">
        <v>326632.34999999998</v>
      </c>
      <c r="F32" s="40">
        <v>325277.13</v>
      </c>
      <c r="G32" s="75">
        <f>58439.1-28601.81</f>
        <v>29837.289999999997</v>
      </c>
      <c r="H32" s="5"/>
    </row>
    <row r="33" spans="2:8" x14ac:dyDescent="0.25">
      <c r="B33" s="174" t="s">
        <v>35</v>
      </c>
      <c r="C33" s="212"/>
      <c r="D33" s="175"/>
      <c r="E33" s="75">
        <v>191088.24</v>
      </c>
      <c r="F33" s="40">
        <v>189925.36</v>
      </c>
      <c r="G33" s="75">
        <f>35957.76-16822.99</f>
        <v>19134.77</v>
      </c>
      <c r="H33" s="5"/>
    </row>
    <row r="34" spans="2:8" hidden="1" x14ac:dyDescent="0.25">
      <c r="B34" s="174" t="s">
        <v>36</v>
      </c>
      <c r="C34" s="175"/>
      <c r="D34" s="71"/>
      <c r="E34" s="75"/>
      <c r="F34" s="40"/>
      <c r="G34" s="75"/>
      <c r="H34" s="5"/>
    </row>
    <row r="35" spans="2:8" x14ac:dyDescent="0.25">
      <c r="B35" s="174" t="s">
        <v>37</v>
      </c>
      <c r="C35" s="212"/>
      <c r="D35" s="175"/>
      <c r="E35" s="75">
        <v>473552.08</v>
      </c>
      <c r="F35" s="40">
        <v>472864.93</v>
      </c>
      <c r="G35" s="75">
        <f>85460.89-41149.52</f>
        <v>44311.37</v>
      </c>
      <c r="H35" s="5"/>
    </row>
    <row r="36" spans="2:8" x14ac:dyDescent="0.25">
      <c r="B36" s="174" t="s">
        <v>38</v>
      </c>
      <c r="C36" s="212"/>
      <c r="D36" s="175"/>
      <c r="E36" s="75">
        <v>332967.84000000003</v>
      </c>
      <c r="F36" s="40">
        <f>329247.77+4716.93</f>
        <v>333964.7</v>
      </c>
      <c r="G36" s="75">
        <f>51362.89+6692.3+8383.01-34537.94</f>
        <v>31900.259999999995</v>
      </c>
      <c r="H36" s="5"/>
    </row>
    <row r="37" spans="2:8" ht="30" customHeight="1" x14ac:dyDescent="0.25">
      <c r="B37" s="174" t="s">
        <v>39</v>
      </c>
      <c r="C37" s="212"/>
      <c r="D37" s="175"/>
      <c r="E37" s="75">
        <v>323793.21999999997</v>
      </c>
      <c r="F37" s="40">
        <f>321045.42+3542.95</f>
        <v>324588.37</v>
      </c>
      <c r="G37" s="75">
        <f>50983.6+7816.84-27792.24</f>
        <v>31008.2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1885306.49</v>
      </c>
      <c r="F38" s="41">
        <f>SUM(F31:F37)</f>
        <v>1881516.77</v>
      </c>
      <c r="G38" s="41">
        <f>SUM(G31:G37)</f>
        <v>178979.58000000002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754993.35</v>
      </c>
      <c r="G44" s="123"/>
      <c r="H44" s="123">
        <f t="shared" ref="H44" si="0">H45+H46+H47</f>
        <v>869653.2300000001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237272.76</v>
      </c>
      <c r="G45" s="112"/>
      <c r="H45" s="105">
        <f>300280.1-31977.16</f>
        <v>268302.94</v>
      </c>
    </row>
    <row r="46" spans="2:8" x14ac:dyDescent="0.25">
      <c r="B46" s="210" t="s">
        <v>49</v>
      </c>
      <c r="C46" s="211"/>
      <c r="D46" s="24">
        <v>2014</v>
      </c>
      <c r="E46" s="10"/>
      <c r="F46" s="105">
        <f>E32</f>
        <v>326632.34999999998</v>
      </c>
      <c r="G46" s="112"/>
      <c r="H46" s="105">
        <f>434105-44602.62</f>
        <v>389502.38</v>
      </c>
    </row>
    <row r="47" spans="2:8" x14ac:dyDescent="0.25">
      <c r="B47" s="174" t="s">
        <v>35</v>
      </c>
      <c r="C47" s="175"/>
      <c r="D47" s="24">
        <v>2014</v>
      </c>
      <c r="E47" s="10"/>
      <c r="F47" s="105">
        <f>E33</f>
        <v>191088.24</v>
      </c>
      <c r="G47" s="112"/>
      <c r="H47" s="105">
        <f>237787.6-25939.69</f>
        <v>211847.91</v>
      </c>
    </row>
    <row r="48" spans="2:8" hidden="1" x14ac:dyDescent="0.25">
      <c r="B48" s="174" t="s">
        <v>36</v>
      </c>
      <c r="C48" s="175"/>
      <c r="D48" s="75"/>
      <c r="E48" s="10"/>
      <c r="F48" s="14"/>
      <c r="G48" s="10"/>
      <c r="H48" s="14"/>
    </row>
    <row r="49" spans="2:8" x14ac:dyDescent="0.25">
      <c r="B49" s="202" t="s">
        <v>65</v>
      </c>
      <c r="C49" s="203"/>
      <c r="D49" s="75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372</v>
      </c>
      <c r="F51" s="151">
        <f>32436.36+1300+504</f>
        <v>34240.36</v>
      </c>
      <c r="G51" s="150" t="s">
        <v>372</v>
      </c>
      <c r="H51" s="151">
        <f>32436.36+1300+504</f>
        <v>34240.36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8227</v>
      </c>
      <c r="G52" s="149" t="s">
        <v>267</v>
      </c>
      <c r="H52" s="152">
        <v>8929.6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3340+12395.76</f>
        <v>15735.76</v>
      </c>
      <c r="G53" s="149" t="s">
        <v>267</v>
      </c>
      <c r="H53" s="152">
        <f>3076.89+11920.56</f>
        <v>14997.449999999999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ht="16.5" customHeight="1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ht="16.5" customHeight="1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ht="16.5" customHeight="1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ht="16.5" customHeight="1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ht="16.5" customHeight="1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ht="16.5" customHeight="1" x14ac:dyDescent="0.25">
      <c r="B60" s="208" t="s">
        <v>69</v>
      </c>
      <c r="C60" s="209"/>
      <c r="D60" s="108" t="s">
        <v>272</v>
      </c>
      <c r="E60" s="161"/>
      <c r="F60" s="152"/>
      <c r="G60" s="161"/>
      <c r="H60" s="152"/>
    </row>
    <row r="61" spans="2:8" ht="16.5" customHeight="1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ht="16.5" customHeight="1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ht="16.5" customHeight="1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ht="16.5" customHeight="1" x14ac:dyDescent="0.25">
      <c r="B64" s="208" t="s">
        <v>373</v>
      </c>
      <c r="C64" s="209"/>
      <c r="D64" s="150" t="s">
        <v>272</v>
      </c>
      <c r="E64" s="150" t="s">
        <v>374</v>
      </c>
      <c r="F64" s="151">
        <v>420000</v>
      </c>
      <c r="G64" s="108" t="s">
        <v>375</v>
      </c>
      <c r="H64" s="151">
        <v>200819.61</v>
      </c>
    </row>
    <row r="65" spans="2:8" ht="39" customHeight="1" x14ac:dyDescent="0.25">
      <c r="B65" s="208" t="s">
        <v>376</v>
      </c>
      <c r="C65" s="209"/>
      <c r="D65" s="150"/>
      <c r="E65" s="150"/>
      <c r="F65" s="151">
        <v>840</v>
      </c>
      <c r="G65" s="150"/>
      <c r="H65" s="151">
        <f>840+3120+435.38</f>
        <v>4395.38</v>
      </c>
    </row>
    <row r="66" spans="2:8" ht="16.5" customHeight="1" x14ac:dyDescent="0.25">
      <c r="B66" s="243" t="s">
        <v>50</v>
      </c>
      <c r="C66" s="244"/>
      <c r="D66" s="108"/>
      <c r="E66" s="108"/>
      <c r="F66" s="162"/>
      <c r="G66" s="163"/>
      <c r="H66" s="162"/>
    </row>
    <row r="67" spans="2:8" ht="47.25" customHeight="1" x14ac:dyDescent="0.25">
      <c r="B67" s="208" t="s">
        <v>51</v>
      </c>
      <c r="C67" s="209"/>
      <c r="D67" s="153" t="s">
        <v>284</v>
      </c>
      <c r="E67" s="108"/>
      <c r="F67" s="154"/>
      <c r="G67" s="108" t="s">
        <v>271</v>
      </c>
      <c r="H67" s="154"/>
    </row>
    <row r="68" spans="2:8" ht="45.75" customHeight="1" x14ac:dyDescent="0.25">
      <c r="B68" s="208" t="s">
        <v>52</v>
      </c>
      <c r="C68" s="209"/>
      <c r="D68" s="108" t="s">
        <v>285</v>
      </c>
      <c r="E68" s="108"/>
      <c r="F68" s="154"/>
      <c r="G68" s="108" t="s">
        <v>271</v>
      </c>
      <c r="H68" s="154"/>
    </row>
    <row r="69" spans="2:8" ht="39.75" customHeight="1" x14ac:dyDescent="0.25">
      <c r="B69" s="208" t="s">
        <v>53</v>
      </c>
      <c r="C69" s="209"/>
      <c r="D69" s="108" t="s">
        <v>286</v>
      </c>
      <c r="E69" s="108"/>
      <c r="F69" s="154"/>
      <c r="G69" s="108" t="s">
        <v>271</v>
      </c>
      <c r="H69" s="154"/>
    </row>
    <row r="70" spans="2:8" ht="84.75" customHeight="1" x14ac:dyDescent="0.25">
      <c r="B70" s="208" t="s">
        <v>54</v>
      </c>
      <c r="C70" s="209"/>
      <c r="D70" s="150" t="s">
        <v>266</v>
      </c>
      <c r="E70" s="150" t="s">
        <v>271</v>
      </c>
      <c r="F70" s="151">
        <v>24252.58</v>
      </c>
      <c r="G70" s="150" t="s">
        <v>271</v>
      </c>
      <c r="H70" s="151">
        <v>23363.07</v>
      </c>
    </row>
    <row r="71" spans="2:8" ht="16.5" customHeight="1" x14ac:dyDescent="0.25">
      <c r="B71" s="208" t="s">
        <v>55</v>
      </c>
      <c r="C71" s="209"/>
      <c r="D71" s="108" t="s">
        <v>266</v>
      </c>
      <c r="E71" s="108" t="s">
        <v>377</v>
      </c>
      <c r="F71" s="152">
        <f>39732</f>
        <v>39732</v>
      </c>
      <c r="G71" s="108" t="s">
        <v>378</v>
      </c>
      <c r="H71" s="152">
        <f>47111.67+24691.65</f>
        <v>71803.320000000007</v>
      </c>
    </row>
    <row r="72" spans="2:8" ht="16.5" customHeight="1" x14ac:dyDescent="0.25">
      <c r="B72" s="208" t="s">
        <v>56</v>
      </c>
      <c r="C72" s="209"/>
      <c r="D72" s="108" t="s">
        <v>266</v>
      </c>
      <c r="E72" s="108" t="s">
        <v>271</v>
      </c>
      <c r="F72" s="152">
        <v>52997.52</v>
      </c>
      <c r="G72" s="108" t="s">
        <v>271</v>
      </c>
      <c r="H72" s="152">
        <v>52997.52</v>
      </c>
    </row>
    <row r="73" spans="2:8" x14ac:dyDescent="0.25">
      <c r="B73" s="208" t="s">
        <v>57</v>
      </c>
      <c r="C73" s="209"/>
      <c r="D73" s="108" t="s">
        <v>266</v>
      </c>
      <c r="E73" s="108"/>
      <c r="F73" s="154"/>
      <c r="G73" s="108" t="s">
        <v>271</v>
      </c>
      <c r="H73" s="154"/>
    </row>
    <row r="74" spans="2:8" x14ac:dyDescent="0.25">
      <c r="B74" s="208" t="s">
        <v>58</v>
      </c>
      <c r="C74" s="209"/>
      <c r="D74" s="108" t="s">
        <v>266</v>
      </c>
      <c r="E74" s="108"/>
      <c r="F74" s="164"/>
      <c r="G74" s="108" t="s">
        <v>271</v>
      </c>
      <c r="H74" s="164"/>
    </row>
    <row r="75" spans="2:8" x14ac:dyDescent="0.25">
      <c r="B75" s="208" t="s">
        <v>282</v>
      </c>
      <c r="C75" s="209"/>
      <c r="D75" s="108"/>
      <c r="E75" s="108"/>
      <c r="F75" s="154"/>
      <c r="G75" s="108"/>
      <c r="H75" s="154"/>
    </row>
    <row r="76" spans="2:8" x14ac:dyDescent="0.25">
      <c r="B76" s="243" t="s">
        <v>59</v>
      </c>
      <c r="C76" s="244"/>
      <c r="D76" s="108"/>
      <c r="E76" s="108"/>
      <c r="F76" s="162"/>
      <c r="G76" s="108"/>
      <c r="H76" s="162"/>
    </row>
    <row r="77" spans="2:8" ht="42" customHeight="1" x14ac:dyDescent="0.25">
      <c r="B77" s="208" t="s">
        <v>60</v>
      </c>
      <c r="C77" s="209"/>
      <c r="D77" s="108" t="s">
        <v>272</v>
      </c>
      <c r="E77" s="108"/>
      <c r="F77" s="154"/>
      <c r="G77" s="108" t="s">
        <v>271</v>
      </c>
      <c r="H77" s="154"/>
    </row>
    <row r="78" spans="2:8" ht="40.5" customHeight="1" x14ac:dyDescent="0.25">
      <c r="B78" s="208" t="s">
        <v>61</v>
      </c>
      <c r="C78" s="209"/>
      <c r="D78" s="108" t="s">
        <v>270</v>
      </c>
      <c r="E78" s="108"/>
      <c r="F78" s="154"/>
      <c r="G78" s="108" t="s">
        <v>271</v>
      </c>
      <c r="H78" s="154"/>
    </row>
    <row r="79" spans="2:8" x14ac:dyDescent="0.25">
      <c r="B79" s="208" t="s">
        <v>62</v>
      </c>
      <c r="C79" s="209"/>
      <c r="D79" s="150" t="s">
        <v>266</v>
      </c>
      <c r="E79" s="150" t="s">
        <v>271</v>
      </c>
      <c r="F79" s="151">
        <f>25967.4+18324.17+12783.73</f>
        <v>57075.3</v>
      </c>
      <c r="G79" s="150" t="s">
        <v>271</v>
      </c>
      <c r="H79" s="151">
        <f>26212.38+18348.67+12844.07</f>
        <v>57405.120000000003</v>
      </c>
    </row>
    <row r="80" spans="2:8" x14ac:dyDescent="0.25">
      <c r="B80" s="208" t="s">
        <v>290</v>
      </c>
      <c r="C80" s="209"/>
      <c r="D80" s="108" t="s">
        <v>291</v>
      </c>
      <c r="E80" s="161" t="s">
        <v>379</v>
      </c>
      <c r="F80" s="152">
        <f>513022.46+5986.42+37812+24105.59</f>
        <v>580926.47</v>
      </c>
      <c r="G80" s="108" t="s">
        <v>380</v>
      </c>
      <c r="H80" s="152">
        <f>60152.37+5986.42+43069.43+18377.45+9694.75</f>
        <v>137280.41999999998</v>
      </c>
    </row>
    <row r="81" spans="2:11" x14ac:dyDescent="0.25">
      <c r="B81" s="208" t="s">
        <v>282</v>
      </c>
      <c r="C81" s="209"/>
      <c r="D81" s="108"/>
      <c r="E81" s="108"/>
      <c r="F81" s="154"/>
      <c r="G81" s="108"/>
      <c r="H81" s="152"/>
    </row>
    <row r="82" spans="2:11" x14ac:dyDescent="0.25">
      <c r="B82" s="208" t="s">
        <v>381</v>
      </c>
      <c r="C82" s="209"/>
      <c r="D82" s="108"/>
      <c r="E82" s="108"/>
      <c r="F82" s="152">
        <v>22133.33</v>
      </c>
      <c r="G82" s="108"/>
      <c r="H82" s="152">
        <v>22133.33</v>
      </c>
    </row>
    <row r="83" spans="2:11" ht="30" customHeight="1" x14ac:dyDescent="0.25">
      <c r="B83" s="243" t="s">
        <v>63</v>
      </c>
      <c r="C83" s="244"/>
      <c r="D83" s="153"/>
      <c r="E83" s="108" t="s">
        <v>271</v>
      </c>
      <c r="F83" s="152">
        <v>47957.19</v>
      </c>
      <c r="G83" s="108" t="s">
        <v>271</v>
      </c>
      <c r="H83" s="152">
        <v>47957.19</v>
      </c>
    </row>
    <row r="84" spans="2:11" ht="30" customHeight="1" x14ac:dyDescent="0.25">
      <c r="B84" s="243" t="s">
        <v>64</v>
      </c>
      <c r="C84" s="244"/>
      <c r="D84" s="108"/>
      <c r="E84" s="108" t="s">
        <v>271</v>
      </c>
      <c r="F84" s="152">
        <v>40665.94</v>
      </c>
      <c r="G84" s="108" t="s">
        <v>271</v>
      </c>
      <c r="H84" s="152">
        <v>39765.99</v>
      </c>
    </row>
    <row r="85" spans="2:11" ht="33.75" customHeight="1" x14ac:dyDescent="0.25">
      <c r="B85" s="243" t="s">
        <v>294</v>
      </c>
      <c r="C85" s="244"/>
      <c r="D85" s="108"/>
      <c r="E85" s="108"/>
      <c r="F85" s="162"/>
      <c r="G85" s="163"/>
      <c r="H85" s="162"/>
    </row>
    <row r="86" spans="2:11" ht="78" customHeight="1" x14ac:dyDescent="0.25">
      <c r="B86" s="208" t="s">
        <v>295</v>
      </c>
      <c r="C86" s="209"/>
      <c r="D86" s="153" t="s">
        <v>296</v>
      </c>
      <c r="E86" s="108"/>
      <c r="F86" s="152">
        <v>8084.19</v>
      </c>
      <c r="G86" s="108"/>
      <c r="H86" s="152">
        <v>11575.36</v>
      </c>
    </row>
    <row r="87" spans="2:11" x14ac:dyDescent="0.25">
      <c r="B87" s="208" t="s">
        <v>71</v>
      </c>
      <c r="C87" s="209"/>
      <c r="D87" s="153" t="s">
        <v>297</v>
      </c>
      <c r="E87" s="108" t="s">
        <v>298</v>
      </c>
      <c r="F87" s="152">
        <v>2820</v>
      </c>
      <c r="G87" s="108" t="s">
        <v>298</v>
      </c>
      <c r="H87" s="152">
        <v>2683.68</v>
      </c>
    </row>
    <row r="88" spans="2:11" x14ac:dyDescent="0.25">
      <c r="B88" s="208" t="s">
        <v>72</v>
      </c>
      <c r="C88" s="209"/>
      <c r="D88" s="108" t="s">
        <v>299</v>
      </c>
      <c r="E88" s="108" t="s">
        <v>382</v>
      </c>
      <c r="F88" s="152">
        <v>5757.93</v>
      </c>
      <c r="G88" s="108" t="s">
        <v>382</v>
      </c>
      <c r="H88" s="152">
        <v>5757.93</v>
      </c>
    </row>
    <row r="89" spans="2:11" x14ac:dyDescent="0.25">
      <c r="B89" s="208" t="s">
        <v>301</v>
      </c>
      <c r="C89" s="209"/>
      <c r="D89" s="108" t="s">
        <v>291</v>
      </c>
      <c r="E89" s="108" t="s">
        <v>271</v>
      </c>
      <c r="F89" s="152">
        <v>45295.97</v>
      </c>
      <c r="G89" s="108" t="s">
        <v>271</v>
      </c>
      <c r="H89" s="161">
        <v>45295.97</v>
      </c>
    </row>
    <row r="90" spans="2:11" x14ac:dyDescent="0.25">
      <c r="B90" s="208" t="s">
        <v>282</v>
      </c>
      <c r="C90" s="209"/>
      <c r="D90" s="108"/>
      <c r="E90" s="108"/>
      <c r="F90" s="154"/>
      <c r="G90" s="108"/>
      <c r="H90" s="154"/>
      <c r="K90" s="5"/>
    </row>
    <row r="91" spans="2:11" x14ac:dyDescent="0.25">
      <c r="B91" s="208" t="s">
        <v>302</v>
      </c>
      <c r="C91" s="209"/>
      <c r="D91" s="108" t="s">
        <v>291</v>
      </c>
      <c r="E91" s="108" t="s">
        <v>383</v>
      </c>
      <c r="F91" s="152">
        <v>20087.990000000002</v>
      </c>
      <c r="G91" s="108" t="s">
        <v>383</v>
      </c>
      <c r="H91" s="152">
        <v>16525.25</v>
      </c>
    </row>
    <row r="92" spans="2:11" x14ac:dyDescent="0.25">
      <c r="B92" s="208" t="s">
        <v>384</v>
      </c>
      <c r="C92" s="209"/>
      <c r="D92" s="108"/>
      <c r="E92" s="108" t="s">
        <v>385</v>
      </c>
      <c r="F92" s="152">
        <v>4540</v>
      </c>
      <c r="G92" s="108" t="s">
        <v>385</v>
      </c>
      <c r="H92" s="152">
        <v>4540</v>
      </c>
    </row>
    <row r="93" spans="2:11" ht="30" customHeight="1" x14ac:dyDescent="0.25">
      <c r="B93" s="208" t="s">
        <v>320</v>
      </c>
      <c r="C93" s="209"/>
      <c r="D93" s="108"/>
      <c r="E93" s="108"/>
      <c r="F93" s="152">
        <v>261726.95</v>
      </c>
      <c r="G93" s="108"/>
      <c r="H93" s="152">
        <v>261726.95</v>
      </c>
    </row>
    <row r="94" spans="2:11" ht="30" customHeight="1" x14ac:dyDescent="0.25">
      <c r="B94" s="206" t="s">
        <v>73</v>
      </c>
      <c r="C94" s="207"/>
      <c r="D94" s="108"/>
      <c r="E94" s="108"/>
      <c r="F94" s="165">
        <v>1919100</v>
      </c>
      <c r="G94" s="165"/>
      <c r="H94" s="165">
        <f>2057122.3-155988.4</f>
        <v>1901133.9000000001</v>
      </c>
    </row>
    <row r="95" spans="2:11" x14ac:dyDescent="0.25">
      <c r="B95" s="9"/>
      <c r="C95" s="9"/>
      <c r="D95" s="5"/>
      <c r="E95" s="5"/>
      <c r="F95" s="15"/>
      <c r="G95" s="5"/>
      <c r="H95" s="15"/>
    </row>
    <row r="96" spans="2:11" x14ac:dyDescent="0.25">
      <c r="B96" s="201" t="s">
        <v>81</v>
      </c>
      <c r="C96" s="201"/>
      <c r="D96" s="201"/>
      <c r="E96" s="201"/>
      <c r="F96" s="201"/>
      <c r="G96" s="201"/>
    </row>
    <row r="97" spans="2:8" ht="63" customHeight="1" x14ac:dyDescent="0.25">
      <c r="B97" s="194" t="s">
        <v>29</v>
      </c>
      <c r="C97" s="194"/>
      <c r="D97" s="79" t="s">
        <v>30</v>
      </c>
      <c r="E97" s="79" t="s">
        <v>31</v>
      </c>
      <c r="F97" s="77" t="s">
        <v>82</v>
      </c>
      <c r="G97" s="77" t="s">
        <v>32</v>
      </c>
    </row>
    <row r="98" spans="2:8" x14ac:dyDescent="0.25">
      <c r="B98" s="181" t="s">
        <v>83</v>
      </c>
      <c r="C98" s="183"/>
      <c r="D98" s="75">
        <v>138691.92000000001</v>
      </c>
      <c r="E98" s="75">
        <v>93120.67</v>
      </c>
      <c r="F98" s="75">
        <f>E98</f>
        <v>93120.67</v>
      </c>
      <c r="G98" s="80">
        <f>70530.94-34672.98</f>
        <v>35857.96</v>
      </c>
    </row>
    <row r="99" spans="2:8" x14ac:dyDescent="0.25">
      <c r="B99" s="181" t="s">
        <v>84</v>
      </c>
      <c r="C99" s="183"/>
      <c r="D99" s="75">
        <f>74771.66-746.74+20251.27-204.37+23119.22-225.02+39244.4</f>
        <v>156210.42000000001</v>
      </c>
      <c r="E99" s="75">
        <f>74947.84+20560.77+22728.63+39383.87</f>
        <v>157621.11000000002</v>
      </c>
      <c r="F99" s="75">
        <f t="shared" ref="F99:F106" si="1">E99</f>
        <v>157621.11000000002</v>
      </c>
      <c r="G99" s="80">
        <f>38216.97+10235.29+10049.56-18472.65+100.5-5003.16+27.22-5711.7+31.07+3222.89</f>
        <v>32695.989999999994</v>
      </c>
    </row>
    <row r="100" spans="2:8" ht="30" customHeight="1" x14ac:dyDescent="0.25">
      <c r="B100" s="174" t="s">
        <v>85</v>
      </c>
      <c r="C100" s="175"/>
      <c r="D100" s="75">
        <f>48569.04+0.18</f>
        <v>48569.22</v>
      </c>
      <c r="E100" s="75">
        <v>48468.02</v>
      </c>
      <c r="F100" s="75">
        <f t="shared" si="1"/>
        <v>48468.02</v>
      </c>
      <c r="G100" s="80">
        <f>24865.66-12142.26</f>
        <v>12723.4</v>
      </c>
    </row>
    <row r="101" spans="2:8" ht="30" customHeight="1" x14ac:dyDescent="0.25">
      <c r="B101" s="174" t="s">
        <v>86</v>
      </c>
      <c r="C101" s="175"/>
      <c r="D101" s="75">
        <f>12412.72+0.04</f>
        <v>12412.76</v>
      </c>
      <c r="E101" s="75">
        <v>12411.58</v>
      </c>
      <c r="F101" s="75">
        <f t="shared" si="1"/>
        <v>12411.58</v>
      </c>
      <c r="G101" s="80">
        <f>6101.2-3103.18</f>
        <v>2998.02</v>
      </c>
    </row>
    <row r="102" spans="2:8" x14ac:dyDescent="0.25">
      <c r="B102" s="174" t="s">
        <v>87</v>
      </c>
      <c r="C102" s="175"/>
      <c r="D102" s="75"/>
      <c r="E102" s="75"/>
      <c r="F102" s="75"/>
      <c r="G102" s="80"/>
    </row>
    <row r="103" spans="2:8" x14ac:dyDescent="0.25">
      <c r="B103" s="174" t="s">
        <v>88</v>
      </c>
      <c r="C103" s="175"/>
      <c r="D103" s="75">
        <f>8634.32+0.04</f>
        <v>8634.36</v>
      </c>
      <c r="E103" s="75">
        <v>8604.56</v>
      </c>
      <c r="F103" s="75">
        <f t="shared" si="1"/>
        <v>8604.56</v>
      </c>
      <c r="G103" s="80">
        <f>4536.38-2158.58</f>
        <v>2377.8000000000002</v>
      </c>
    </row>
    <row r="104" spans="2:8" x14ac:dyDescent="0.25">
      <c r="B104" s="174" t="s">
        <v>150</v>
      </c>
      <c r="C104" s="175"/>
      <c r="D104" s="75">
        <v>42840</v>
      </c>
      <c r="E104" s="75">
        <f>42598.42+14.14</f>
        <v>42612.56</v>
      </c>
      <c r="F104" s="75">
        <f t="shared" si="1"/>
        <v>42612.56</v>
      </c>
      <c r="G104" s="80">
        <f>16943.63+2215.57-10570</f>
        <v>8589.2000000000007</v>
      </c>
    </row>
    <row r="105" spans="2:8" x14ac:dyDescent="0.25">
      <c r="B105" s="174" t="s">
        <v>89</v>
      </c>
      <c r="C105" s="175"/>
      <c r="D105" s="75">
        <v>13325</v>
      </c>
      <c r="E105" s="75">
        <v>12686.18</v>
      </c>
      <c r="F105" s="75">
        <f t="shared" si="1"/>
        <v>12686.18</v>
      </c>
      <c r="G105" s="80">
        <f>7237.19-3425</f>
        <v>3812.1899999999996</v>
      </c>
    </row>
    <row r="106" spans="2:8" ht="30" x14ac:dyDescent="0.25">
      <c r="B106" s="72" t="s">
        <v>81</v>
      </c>
      <c r="C106" s="73"/>
      <c r="D106" s="75">
        <f>-0.12</f>
        <v>-0.12</v>
      </c>
      <c r="E106" s="75">
        <f>11145.96+11.34+64.35</f>
        <v>11221.65</v>
      </c>
      <c r="F106" s="75">
        <f t="shared" si="1"/>
        <v>11221.65</v>
      </c>
      <c r="G106" s="80">
        <f>-4.84+2384.15+225.48+1110.73</f>
        <v>3715.52</v>
      </c>
    </row>
    <row r="107" spans="2:8" ht="18.75" customHeight="1" x14ac:dyDescent="0.25">
      <c r="B107" s="202" t="s">
        <v>90</v>
      </c>
      <c r="C107" s="203"/>
      <c r="D107" s="74">
        <f>SUM(D98:D106)</f>
        <v>420683.56000000006</v>
      </c>
      <c r="E107" s="74">
        <f>SUM(E98:E106)</f>
        <v>386746.33000000007</v>
      </c>
      <c r="F107" s="75">
        <f>E107</f>
        <v>386746.33000000007</v>
      </c>
      <c r="G107" s="74">
        <f>SUM(G98:G106)</f>
        <v>102770.08</v>
      </c>
    </row>
    <row r="108" spans="2:8" x14ac:dyDescent="0.25">
      <c r="B108" s="202" t="s">
        <v>91</v>
      </c>
      <c r="C108" s="203"/>
      <c r="D108" s="82">
        <f>D107+F119+E38+C142</f>
        <v>5170288.5500000007</v>
      </c>
      <c r="E108" s="82">
        <f>E107+G119+F38+D142</f>
        <v>4676123.7310000006</v>
      </c>
      <c r="F108" s="82">
        <f>E108</f>
        <v>4676123.7310000006</v>
      </c>
      <c r="G108" s="82">
        <f>G38+G107+H119+F142</f>
        <v>1054509.48</v>
      </c>
    </row>
    <row r="109" spans="2:8" x14ac:dyDescent="0.25">
      <c r="B109" s="16"/>
      <c r="C109" s="16"/>
      <c r="D109" s="16"/>
      <c r="E109" s="17"/>
      <c r="F109" s="17"/>
      <c r="G109" s="17"/>
      <c r="H109" s="17"/>
    </row>
    <row r="110" spans="2:8" x14ac:dyDescent="0.25">
      <c r="B110" s="204" t="s">
        <v>92</v>
      </c>
      <c r="C110" s="201"/>
      <c r="D110" s="201"/>
      <c r="E110" s="201"/>
      <c r="F110" s="201"/>
    </row>
    <row r="111" spans="2:8" ht="38.25" customHeight="1" x14ac:dyDescent="0.25">
      <c r="B111" s="194" t="s">
        <v>29</v>
      </c>
      <c r="C111" s="194" t="s">
        <v>93</v>
      </c>
      <c r="D111" s="194"/>
      <c r="E111" s="205" t="s">
        <v>94</v>
      </c>
      <c r="F111" s="194" t="s">
        <v>30</v>
      </c>
      <c r="G111" s="194" t="s">
        <v>31</v>
      </c>
      <c r="H111" s="195" t="s">
        <v>95</v>
      </c>
    </row>
    <row r="112" spans="2:8" ht="35.25" customHeight="1" x14ac:dyDescent="0.25">
      <c r="B112" s="194"/>
      <c r="C112" s="79" t="s">
        <v>96</v>
      </c>
      <c r="D112" s="19" t="s">
        <v>97</v>
      </c>
      <c r="E112" s="205"/>
      <c r="F112" s="194"/>
      <c r="G112" s="194"/>
      <c r="H112" s="195"/>
    </row>
    <row r="113" spans="2:8" x14ac:dyDescent="0.25">
      <c r="B113" s="10" t="s">
        <v>98</v>
      </c>
      <c r="C113" s="75">
        <v>1400.08</v>
      </c>
      <c r="D113" s="42">
        <v>1439.26</v>
      </c>
      <c r="E113" s="110">
        <v>688.96</v>
      </c>
      <c r="F113" s="75">
        <f>-5924.64+991618.69+5924.64</f>
        <v>991618.69</v>
      </c>
      <c r="G113" s="75">
        <f>1059.49+556483.58</f>
        <v>557543.06999999995</v>
      </c>
      <c r="H113" s="75">
        <f>3099.11+608121.98-400424.71</f>
        <v>210796.37999999995</v>
      </c>
    </row>
    <row r="114" spans="2:8" x14ac:dyDescent="0.25">
      <c r="B114" s="10" t="s">
        <v>147</v>
      </c>
      <c r="C114" s="75">
        <v>22.15</v>
      </c>
      <c r="D114" s="42">
        <v>26.44</v>
      </c>
      <c r="E114" s="110">
        <v>4823.8100000000004</v>
      </c>
      <c r="F114" s="75">
        <f>626951.91+36931.99+73777.03-50142.63+13538.72-8731.62+114002.95+6451.73</f>
        <v>812780.08</v>
      </c>
      <c r="G114" s="75">
        <f>570552.89+79564.14+14565.15+103975.12</f>
        <v>768657.3</v>
      </c>
      <c r="H114" s="75">
        <f>428328.78-31972.27-5522.33+68110.11-186949.3-28144.67-6949.01+50337.09-1207.63+8742.28-32493.72-4976.78</f>
        <v>257302.55000000008</v>
      </c>
    </row>
    <row r="115" spans="2:8" x14ac:dyDescent="0.25">
      <c r="B115" s="10" t="s">
        <v>99</v>
      </c>
      <c r="C115" s="75">
        <v>18.43</v>
      </c>
      <c r="D115" s="42">
        <v>19.22</v>
      </c>
      <c r="E115" s="110">
        <v>7846</v>
      </c>
      <c r="F115" s="75">
        <f>19450.86-11307.84+131349.12+5778.69</f>
        <v>145270.82999999999</v>
      </c>
      <c r="G115" s="75">
        <f>45697.46+133586.35+98.49</f>
        <v>179382.3</v>
      </c>
      <c r="H115" s="75">
        <f>-11626.52+99214.53+4618.97-1954.79+10012.28-32391.24-3518.31</f>
        <v>64354.92</v>
      </c>
    </row>
    <row r="116" spans="2:8" x14ac:dyDescent="0.25">
      <c r="B116" s="10" t="s">
        <v>100</v>
      </c>
      <c r="C116" s="75">
        <v>12.31</v>
      </c>
      <c r="D116" s="42">
        <v>12.84</v>
      </c>
      <c r="E116" s="110">
        <v>12313.65</v>
      </c>
      <c r="F116" s="75">
        <f>143111.19+8146.89-962.54</f>
        <v>150295.54</v>
      </c>
      <c r="G116" s="75">
        <f>140581.08+98.28</f>
        <v>140679.35999999999</v>
      </c>
      <c r="H116" s="75">
        <f>103129.78-37418.9-4836.67</f>
        <v>60874.210000000006</v>
      </c>
    </row>
    <row r="117" spans="2:8" x14ac:dyDescent="0.25">
      <c r="B117" s="10" t="s">
        <v>101</v>
      </c>
      <c r="C117" s="75" t="s">
        <v>145</v>
      </c>
      <c r="D117" s="42" t="s">
        <v>146</v>
      </c>
      <c r="E117" s="110">
        <v>143984.73000000001</v>
      </c>
      <c r="F117" s="75">
        <f>59290.31+896.15+410506.14-5809.48</f>
        <v>464883.12000000005</v>
      </c>
      <c r="G117" s="75">
        <f>58814.34+396739.84</f>
        <v>455554.18000000005</v>
      </c>
      <c r="H117" s="75">
        <f>21977.62+207893.15-20031.67+602.14-108171.71-319.21</f>
        <v>101950.31999999998</v>
      </c>
    </row>
    <row r="118" spans="2:8" x14ac:dyDescent="0.25">
      <c r="B118" s="10" t="s">
        <v>102</v>
      </c>
      <c r="C118" s="75">
        <v>2.2999999999999998</v>
      </c>
      <c r="D118" s="42">
        <v>2.39</v>
      </c>
      <c r="E118" s="110">
        <f t="shared" ref="E118" si="2">F118/D118</f>
        <v>13301.974895397489</v>
      </c>
      <c r="F118" s="75">
        <f>30829.81+961.91</f>
        <v>31791.72</v>
      </c>
      <c r="G118" s="75">
        <v>33869.4</v>
      </c>
      <c r="H118" s="75">
        <f>15066.72-8104.86-261.99</f>
        <v>6699.87</v>
      </c>
    </row>
    <row r="119" spans="2:8" x14ac:dyDescent="0.25">
      <c r="B119" s="11" t="s">
        <v>103</v>
      </c>
      <c r="C119" s="74"/>
      <c r="D119" s="42"/>
      <c r="E119" s="4"/>
      <c r="F119" s="74">
        <f>SUM(F113:F118)</f>
        <v>2596639.9800000004</v>
      </c>
      <c r="G119" s="74">
        <f>SUM(G113:G118)</f>
        <v>2135685.6100000003</v>
      </c>
      <c r="H119" s="74">
        <f>SUM(H113:H118)</f>
        <v>701978.25</v>
      </c>
    </row>
    <row r="120" spans="2:8" x14ac:dyDescent="0.25">
      <c r="B120" s="16"/>
      <c r="C120" s="16"/>
      <c r="D120" s="16"/>
      <c r="E120" s="17"/>
      <c r="F120" s="17"/>
      <c r="G120" s="17"/>
      <c r="H120" s="17"/>
    </row>
    <row r="121" spans="2:8" x14ac:dyDescent="0.25">
      <c r="B121" s="16"/>
      <c r="C121" s="16" t="s">
        <v>244</v>
      </c>
      <c r="D121" s="16"/>
      <c r="E121" s="17"/>
      <c r="F121" s="17"/>
      <c r="G121" s="17"/>
      <c r="H121" s="17"/>
    </row>
    <row r="122" spans="2:8" x14ac:dyDescent="0.25">
      <c r="B122" s="137" t="s">
        <v>228</v>
      </c>
      <c r="C122" s="137" t="s">
        <v>229</v>
      </c>
      <c r="D122" s="137"/>
      <c r="E122" s="131" t="s">
        <v>230</v>
      </c>
      <c r="F122" s="17"/>
      <c r="G122" s="17"/>
      <c r="H122" s="17"/>
    </row>
    <row r="123" spans="2:8" x14ac:dyDescent="0.25">
      <c r="B123" s="133" t="s">
        <v>231</v>
      </c>
      <c r="C123" s="199">
        <v>15</v>
      </c>
      <c r="D123" s="200"/>
      <c r="E123" s="105">
        <v>100</v>
      </c>
      <c r="F123" s="17"/>
      <c r="G123" s="17"/>
      <c r="H123" s="17"/>
    </row>
    <row r="124" spans="2:8" x14ac:dyDescent="0.25">
      <c r="B124" s="133" t="s">
        <v>232</v>
      </c>
      <c r="C124" s="199">
        <v>9</v>
      </c>
      <c r="D124" s="200"/>
      <c r="E124" s="105">
        <v>100</v>
      </c>
      <c r="F124" s="17"/>
      <c r="G124" s="17"/>
      <c r="H124" s="17"/>
    </row>
    <row r="125" spans="2:8" x14ac:dyDescent="0.25">
      <c r="B125" s="133" t="s">
        <v>233</v>
      </c>
      <c r="C125" s="199"/>
      <c r="D125" s="200"/>
      <c r="E125" s="105"/>
      <c r="F125" s="17"/>
      <c r="G125" s="17"/>
      <c r="H125" s="17"/>
    </row>
    <row r="126" spans="2:8" x14ac:dyDescent="0.25">
      <c r="B126" s="133" t="s">
        <v>234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235</v>
      </c>
      <c r="C127" s="199">
        <v>2</v>
      </c>
      <c r="D127" s="200"/>
      <c r="E127" s="105">
        <v>100</v>
      </c>
      <c r="F127" s="17"/>
      <c r="G127" s="17"/>
      <c r="H127" s="17"/>
    </row>
    <row r="128" spans="2:8" x14ac:dyDescent="0.25">
      <c r="B128" s="133" t="s">
        <v>236</v>
      </c>
      <c r="C128" s="199"/>
      <c r="D128" s="200"/>
      <c r="E128" s="105"/>
      <c r="F128" s="17"/>
      <c r="G128" s="17"/>
      <c r="H128" s="17"/>
    </row>
    <row r="129" spans="2:8" x14ac:dyDescent="0.25">
      <c r="B129" s="133" t="s">
        <v>70</v>
      </c>
      <c r="C129" s="199">
        <v>16</v>
      </c>
      <c r="D129" s="200"/>
      <c r="E129" s="105">
        <v>100</v>
      </c>
      <c r="F129" s="17"/>
      <c r="G129" s="17"/>
      <c r="H129" s="17"/>
    </row>
    <row r="130" spans="2:8" x14ac:dyDescent="0.25">
      <c r="B130" s="133" t="s">
        <v>237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238</v>
      </c>
      <c r="C131" s="199">
        <v>1</v>
      </c>
      <c r="D131" s="200"/>
      <c r="E131" s="105">
        <v>100</v>
      </c>
      <c r="F131" s="17"/>
      <c r="G131" s="17"/>
      <c r="H131" s="17"/>
    </row>
    <row r="132" spans="2:8" x14ac:dyDescent="0.25">
      <c r="B132" s="133" t="s">
        <v>239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240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241</v>
      </c>
      <c r="C134" s="199"/>
      <c r="D134" s="200"/>
      <c r="E134" s="105"/>
      <c r="F134" s="17"/>
      <c r="G134" s="17"/>
      <c r="H134" s="17"/>
    </row>
    <row r="135" spans="2:8" x14ac:dyDescent="0.25">
      <c r="B135" s="133" t="s">
        <v>242</v>
      </c>
      <c r="C135" s="199"/>
      <c r="D135" s="200"/>
      <c r="E135" s="105"/>
      <c r="F135" s="17"/>
      <c r="G135" s="17"/>
      <c r="H135" s="17"/>
    </row>
    <row r="136" spans="2:8" x14ac:dyDescent="0.25">
      <c r="B136" s="133" t="s">
        <v>243</v>
      </c>
      <c r="C136" s="199"/>
      <c r="D136" s="200"/>
      <c r="E136" s="105"/>
      <c r="F136" s="17"/>
      <c r="G136" s="17"/>
      <c r="H136" s="17"/>
    </row>
    <row r="137" spans="2:8" x14ac:dyDescent="0.25">
      <c r="B137" s="139" t="s">
        <v>103</v>
      </c>
      <c r="C137" s="245">
        <f>SUM(C123:C136)</f>
        <v>43</v>
      </c>
      <c r="D137" s="246"/>
      <c r="E137" s="123">
        <v>100</v>
      </c>
      <c r="F137" s="9"/>
      <c r="G137" s="9"/>
      <c r="H137" s="17"/>
    </row>
    <row r="138" spans="2:8" x14ac:dyDescent="0.25">
      <c r="B138" s="12"/>
      <c r="C138" s="12"/>
      <c r="D138" s="9"/>
      <c r="E138" s="9"/>
      <c r="F138" s="9"/>
      <c r="G138" s="9"/>
    </row>
    <row r="139" spans="2:8" ht="44.25" customHeight="1" x14ac:dyDescent="0.25">
      <c r="B139" s="33"/>
      <c r="C139" s="74" t="s">
        <v>30</v>
      </c>
      <c r="D139" s="74" t="s">
        <v>31</v>
      </c>
      <c r="E139" s="77" t="s">
        <v>104</v>
      </c>
      <c r="F139" s="77" t="s">
        <v>32</v>
      </c>
    </row>
    <row r="140" spans="2:8" x14ac:dyDescent="0.25">
      <c r="B140" s="32" t="s">
        <v>105</v>
      </c>
      <c r="C140" s="75">
        <f>255046+215</f>
        <v>255261</v>
      </c>
      <c r="D140" s="75">
        <f>261524.811+91+6.53+9.74</f>
        <v>261632.08099999998</v>
      </c>
      <c r="E140" s="75"/>
      <c r="F140" s="80">
        <f>122781.8+3720.04+244.38+398.42-63761.5</f>
        <v>63383.14</v>
      </c>
    </row>
    <row r="141" spans="2:8" x14ac:dyDescent="0.25">
      <c r="B141" s="32" t="s">
        <v>106</v>
      </c>
      <c r="C141" s="75">
        <f>12582.84-185.32</f>
        <v>12397.52</v>
      </c>
      <c r="D141" s="75">
        <f>4.58+10538.36</f>
        <v>10542.94</v>
      </c>
      <c r="E141" s="75"/>
      <c r="F141" s="80">
        <f>77.59+10466.55-3145.71</f>
        <v>7398.4299999999994</v>
      </c>
    </row>
    <row r="142" spans="2:8" x14ac:dyDescent="0.25">
      <c r="B142" s="33" t="s">
        <v>107</v>
      </c>
      <c r="C142" s="74">
        <f>SUM(C140:C141)</f>
        <v>267658.52</v>
      </c>
      <c r="D142" s="74">
        <f>SUM(D140:D141)</f>
        <v>272175.02099999995</v>
      </c>
      <c r="E142" s="75"/>
      <c r="F142" s="74">
        <f>SUM(F140:F141)</f>
        <v>70781.569999999992</v>
      </c>
    </row>
    <row r="144" spans="2:8" x14ac:dyDescent="0.25">
      <c r="B144" s="177" t="s">
        <v>108</v>
      </c>
      <c r="C144" s="178"/>
      <c r="D144" s="179"/>
      <c r="E144" s="196">
        <f>G108</f>
        <v>1054509.48</v>
      </c>
      <c r="F144" s="197"/>
    </row>
    <row r="146" spans="2:6" x14ac:dyDescent="0.25">
      <c r="B146" s="198" t="s">
        <v>109</v>
      </c>
      <c r="C146" s="198"/>
      <c r="D146" s="198"/>
      <c r="E146" s="193"/>
      <c r="F146" s="193"/>
    </row>
    <row r="147" spans="2:6" x14ac:dyDescent="0.25">
      <c r="B147" s="192" t="s">
        <v>110</v>
      </c>
      <c r="C147" s="192"/>
      <c r="D147" s="192"/>
      <c r="E147" s="193"/>
      <c r="F147" s="193"/>
    </row>
    <row r="148" spans="2:6" x14ac:dyDescent="0.25">
      <c r="B148" s="192" t="s">
        <v>111</v>
      </c>
      <c r="C148" s="192"/>
      <c r="D148" s="192"/>
      <c r="E148" s="193"/>
      <c r="F148" s="193"/>
    </row>
    <row r="149" spans="2:6" x14ac:dyDescent="0.25">
      <c r="B149" s="192" t="s">
        <v>112</v>
      </c>
      <c r="C149" s="192"/>
      <c r="D149" s="192"/>
      <c r="E149" s="193"/>
      <c r="F149" s="193"/>
    </row>
    <row r="150" spans="2:6" x14ac:dyDescent="0.25">
      <c r="B150" s="192" t="s">
        <v>167</v>
      </c>
      <c r="C150" s="192"/>
      <c r="D150" s="192"/>
      <c r="E150" s="193"/>
      <c r="F150" s="193"/>
    </row>
    <row r="152" spans="2:6" x14ac:dyDescent="0.25">
      <c r="B152" s="177" t="s">
        <v>114</v>
      </c>
      <c r="C152" s="178"/>
      <c r="D152" s="179"/>
      <c r="E152" s="193"/>
      <c r="F152" s="193"/>
    </row>
    <row r="154" spans="2:6" hidden="1" x14ac:dyDescent="0.25">
      <c r="B154" s="181" t="s">
        <v>123</v>
      </c>
      <c r="C154" s="183"/>
      <c r="D154" s="75" t="s">
        <v>124</v>
      </c>
      <c r="E154" s="176" t="s">
        <v>122</v>
      </c>
      <c r="F154" s="176"/>
    </row>
    <row r="155" spans="2:6" hidden="1" x14ac:dyDescent="0.25">
      <c r="B155" s="181" t="s">
        <v>125</v>
      </c>
      <c r="C155" s="183"/>
      <c r="D155" s="75" t="s">
        <v>126</v>
      </c>
      <c r="E155" s="176" t="s">
        <v>122</v>
      </c>
      <c r="F155" s="176"/>
    </row>
    <row r="156" spans="2:6" ht="30" hidden="1" customHeight="1" x14ac:dyDescent="0.25">
      <c r="B156" s="174" t="s">
        <v>127</v>
      </c>
      <c r="C156" s="175"/>
      <c r="D156" s="75" t="s">
        <v>128</v>
      </c>
      <c r="E156" s="176" t="s">
        <v>122</v>
      </c>
      <c r="F156" s="176"/>
    </row>
    <row r="157" spans="2:6" ht="30" hidden="1" customHeight="1" x14ac:dyDescent="0.25">
      <c r="B157" s="174" t="s">
        <v>129</v>
      </c>
      <c r="C157" s="175"/>
      <c r="D157" s="75" t="s">
        <v>130</v>
      </c>
      <c r="E157" s="176"/>
      <c r="F157" s="176"/>
    </row>
    <row r="158" spans="2:6" ht="30" hidden="1" x14ac:dyDescent="0.25">
      <c r="B158" s="174" t="s">
        <v>131</v>
      </c>
      <c r="C158" s="175"/>
      <c r="D158" s="24" t="s">
        <v>132</v>
      </c>
      <c r="E158" s="176" t="s">
        <v>133</v>
      </c>
      <c r="F158" s="176"/>
    </row>
    <row r="159" spans="2:6" hidden="1" x14ac:dyDescent="0.25">
      <c r="B159" s="181" t="s">
        <v>134</v>
      </c>
      <c r="C159" s="183"/>
      <c r="D159" s="10" t="s">
        <v>135</v>
      </c>
      <c r="E159" s="176"/>
      <c r="F159" s="176"/>
    </row>
    <row r="160" spans="2:6" ht="30" hidden="1" customHeight="1" x14ac:dyDescent="0.25">
      <c r="B160" s="174" t="s">
        <v>136</v>
      </c>
      <c r="C160" s="175"/>
      <c r="D160" s="10" t="s">
        <v>137</v>
      </c>
      <c r="E160" s="176"/>
      <c r="F160" s="176"/>
    </row>
    <row r="161" spans="2:8" ht="30" hidden="1" customHeight="1" x14ac:dyDescent="0.25">
      <c r="B161" s="174" t="s">
        <v>138</v>
      </c>
      <c r="C161" s="175"/>
      <c r="D161" s="75" t="s">
        <v>139</v>
      </c>
      <c r="E161" s="176"/>
      <c r="F161" s="176"/>
    </row>
    <row r="162" spans="2:8" x14ac:dyDescent="0.25">
      <c r="B162" s="177" t="s">
        <v>74</v>
      </c>
      <c r="C162" s="178"/>
      <c r="D162" s="179"/>
      <c r="E162" s="180">
        <v>1200</v>
      </c>
      <c r="F162" s="180"/>
      <c r="G162" s="25"/>
      <c r="H162" s="25"/>
    </row>
    <row r="163" spans="2:8" x14ac:dyDescent="0.25">
      <c r="B163" s="181" t="s">
        <v>75</v>
      </c>
      <c r="C163" s="182"/>
      <c r="D163" s="183"/>
      <c r="E163" s="176"/>
      <c r="F163" s="176"/>
      <c r="G163" s="26"/>
      <c r="H163" s="26"/>
    </row>
    <row r="164" spans="2:8" x14ac:dyDescent="0.25">
      <c r="B164" s="181" t="s">
        <v>76</v>
      </c>
      <c r="C164" s="182"/>
      <c r="D164" s="183"/>
      <c r="E164" s="184"/>
      <c r="F164" s="184"/>
      <c r="G164" s="27"/>
      <c r="H164" s="27"/>
    </row>
    <row r="165" spans="2:8" x14ac:dyDescent="0.25">
      <c r="B165" s="181" t="s">
        <v>77</v>
      </c>
      <c r="C165" s="182"/>
      <c r="D165" s="183"/>
      <c r="E165" s="184"/>
      <c r="F165" s="184"/>
      <c r="G165" s="27"/>
      <c r="H165" s="27"/>
    </row>
    <row r="166" spans="2:8" x14ac:dyDescent="0.25">
      <c r="B166" s="177" t="s">
        <v>78</v>
      </c>
      <c r="C166" s="178"/>
      <c r="D166" s="179"/>
      <c r="E166" s="180"/>
      <c r="F166" s="180"/>
      <c r="G166" s="25"/>
      <c r="H166" s="25"/>
    </row>
    <row r="167" spans="2:8" x14ac:dyDescent="0.25">
      <c r="B167" s="181" t="s">
        <v>79</v>
      </c>
      <c r="C167" s="182"/>
      <c r="D167" s="183"/>
      <c r="E167" s="184"/>
      <c r="F167" s="184"/>
      <c r="G167" s="27"/>
      <c r="H167" s="27"/>
    </row>
    <row r="168" spans="2:8" x14ac:dyDescent="0.25">
      <c r="B168" s="177" t="s">
        <v>80</v>
      </c>
      <c r="C168" s="178"/>
      <c r="D168" s="179"/>
      <c r="E168" s="184"/>
      <c r="F168" s="184"/>
      <c r="G168" s="27"/>
      <c r="H168" s="27"/>
    </row>
    <row r="169" spans="2:8" x14ac:dyDescent="0.25">
      <c r="B169" s="16"/>
      <c r="C169" s="16"/>
      <c r="D169" s="16"/>
      <c r="E169" s="17"/>
      <c r="F169" s="17"/>
      <c r="G169" s="17"/>
      <c r="H169" s="17"/>
    </row>
    <row r="170" spans="2:8" ht="36" customHeight="1" x14ac:dyDescent="0.25">
      <c r="B170" s="185" t="s">
        <v>115</v>
      </c>
      <c r="C170" s="186"/>
      <c r="D170" s="186"/>
      <c r="E170" s="186"/>
      <c r="F170" s="21" t="s">
        <v>116</v>
      </c>
    </row>
    <row r="171" spans="2:8" ht="14.45" customHeight="1" x14ac:dyDescent="0.25">
      <c r="B171" s="187" t="s">
        <v>117</v>
      </c>
      <c r="C171" s="188" t="s">
        <v>118</v>
      </c>
      <c r="D171" s="190" t="s">
        <v>119</v>
      </c>
      <c r="E171" s="191"/>
      <c r="F171" s="4"/>
    </row>
    <row r="172" spans="2:8" x14ac:dyDescent="0.25">
      <c r="B172" s="187"/>
      <c r="C172" s="189"/>
      <c r="D172" s="81" t="s">
        <v>120</v>
      </c>
      <c r="E172" s="81" t="s">
        <v>121</v>
      </c>
      <c r="F172" s="4"/>
    </row>
    <row r="173" spans="2:8" x14ac:dyDescent="0.25">
      <c r="B173" s="35"/>
      <c r="C173" s="34"/>
      <c r="D173" s="4"/>
      <c r="E173" s="4"/>
      <c r="F173" s="4"/>
    </row>
    <row r="174" spans="2:8" x14ac:dyDescent="0.25">
      <c r="B174" s="35"/>
      <c r="C174" s="35"/>
      <c r="D174" s="4"/>
      <c r="E174" s="4"/>
      <c r="F174" s="4"/>
    </row>
    <row r="175" spans="2:8" x14ac:dyDescent="0.25">
      <c r="B175" s="120"/>
      <c r="C175" s="120"/>
      <c r="D175" s="121"/>
      <c r="E175" s="121"/>
      <c r="F175" s="121"/>
    </row>
    <row r="176" spans="2:8" x14ac:dyDescent="0.25">
      <c r="B176" s="120" t="s">
        <v>247</v>
      </c>
      <c r="C176" s="120"/>
      <c r="D176" s="121" t="s">
        <v>248</v>
      </c>
      <c r="E176" s="121"/>
      <c r="F176" s="121"/>
    </row>
  </sheetData>
  <mergeCells count="184">
    <mergeCell ref="B67:C67"/>
    <mergeCell ref="B68:C68"/>
    <mergeCell ref="B69:C69"/>
    <mergeCell ref="B70:C70"/>
    <mergeCell ref="B71:C71"/>
    <mergeCell ref="B72:C72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74:C74"/>
    <mergeCell ref="B75:C75"/>
    <mergeCell ref="B76:C76"/>
    <mergeCell ref="B77:C77"/>
    <mergeCell ref="B78:C78"/>
    <mergeCell ref="B79:C79"/>
    <mergeCell ref="B50:C50"/>
    <mergeCell ref="B51:C51"/>
    <mergeCell ref="B52:C52"/>
    <mergeCell ref="B53:C53"/>
    <mergeCell ref="B54:C54"/>
    <mergeCell ref="B73:C73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2:C92"/>
    <mergeCell ref="B93:C93"/>
    <mergeCell ref="B94:C94"/>
    <mergeCell ref="B98:C98"/>
    <mergeCell ref="B99:C99"/>
    <mergeCell ref="B100:C100"/>
    <mergeCell ref="B101:C101"/>
    <mergeCell ref="B102:C102"/>
    <mergeCell ref="B103:C103"/>
    <mergeCell ref="B96:G96"/>
    <mergeCell ref="B97:C97"/>
    <mergeCell ref="C135:D135"/>
    <mergeCell ref="C136:D136"/>
    <mergeCell ref="C137:D137"/>
    <mergeCell ref="B104:C104"/>
    <mergeCell ref="B105:C105"/>
    <mergeCell ref="B107:C107"/>
    <mergeCell ref="B108:C108"/>
    <mergeCell ref="B110:F110"/>
    <mergeCell ref="B111:B112"/>
    <mergeCell ref="C111:D111"/>
    <mergeCell ref="E111:E112"/>
    <mergeCell ref="F111:F112"/>
    <mergeCell ref="B147:D147"/>
    <mergeCell ref="E147:F147"/>
    <mergeCell ref="B148:D148"/>
    <mergeCell ref="E148:F148"/>
    <mergeCell ref="B149:D149"/>
    <mergeCell ref="E149:F149"/>
    <mergeCell ref="G111:G112"/>
    <mergeCell ref="H111:H112"/>
    <mergeCell ref="B144:D144"/>
    <mergeCell ref="E144:F144"/>
    <mergeCell ref="B146:D146"/>
    <mergeCell ref="E146:F146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B155:C155"/>
    <mergeCell ref="E155:F155"/>
    <mergeCell ref="B156:C156"/>
    <mergeCell ref="E156:F156"/>
    <mergeCell ref="B157:C157"/>
    <mergeCell ref="E157:F157"/>
    <mergeCell ref="B150:D150"/>
    <mergeCell ref="E150:F150"/>
    <mergeCell ref="B152:D152"/>
    <mergeCell ref="E152:F152"/>
    <mergeCell ref="B154:C154"/>
    <mergeCell ref="E154:F154"/>
    <mergeCell ref="B168:D168"/>
    <mergeCell ref="E168:F168"/>
    <mergeCell ref="B170:E170"/>
    <mergeCell ref="B171:B172"/>
    <mergeCell ref="C171:C172"/>
    <mergeCell ref="D171:E171"/>
    <mergeCell ref="B164:D164"/>
    <mergeCell ref="E164:F164"/>
    <mergeCell ref="B165:D165"/>
    <mergeCell ref="E165:F165"/>
    <mergeCell ref="B166:D166"/>
    <mergeCell ref="E166:F166"/>
    <mergeCell ref="B161:C161"/>
    <mergeCell ref="E161:F161"/>
    <mergeCell ref="B162:D162"/>
    <mergeCell ref="E162:F162"/>
    <mergeCell ref="B163:D163"/>
    <mergeCell ref="E163:F163"/>
    <mergeCell ref="B158:C158"/>
    <mergeCell ref="B167:D167"/>
    <mergeCell ref="E167:F167"/>
    <mergeCell ref="E158:F158"/>
    <mergeCell ref="B159:C159"/>
    <mergeCell ref="E159:F159"/>
    <mergeCell ref="B160:C160"/>
    <mergeCell ref="E160:F160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2" max="7" man="1"/>
    <brk id="11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5"/>
  <sheetViews>
    <sheetView view="pageBreakPreview" topLeftCell="A2" zoomScale="70" zoomScaleSheetLayoutView="70" workbookViewId="0">
      <selection activeCell="E26" sqref="E26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7.710937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180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181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11127.8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11100.7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27.1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11127.8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170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239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16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616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118058.35</v>
      </c>
      <c r="E22" s="7">
        <v>118058.35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4272743.37</v>
      </c>
      <c r="E23" s="45">
        <f>E38+D97+C141</f>
        <v>1873909.82</v>
      </c>
      <c r="F23" s="7">
        <f>D98+D99+D100+D101+D102+D103+D104+D105</f>
        <v>238590.14</v>
      </c>
      <c r="G23" s="7">
        <f>F112+F113+F114+F115+F116+F117</f>
        <v>2160243.41</v>
      </c>
      <c r="H23" s="2"/>
    </row>
    <row r="24" spans="1:8" x14ac:dyDescent="0.25">
      <c r="B24" s="223" t="s">
        <v>24</v>
      </c>
      <c r="C24" s="224"/>
      <c r="D24" s="43">
        <f>E24+F24+G24</f>
        <v>4016882.16</v>
      </c>
      <c r="E24" s="45">
        <f>F38+E97+D139+D140</f>
        <v>1846235.5799999998</v>
      </c>
      <c r="F24" s="7">
        <f>E98+E99+E101+E102+E105+E100+E103+E104</f>
        <v>261220.38</v>
      </c>
      <c r="G24" s="7">
        <f>G118</f>
        <v>1909426.2</v>
      </c>
      <c r="H24" s="2"/>
    </row>
    <row r="25" spans="1:8" x14ac:dyDescent="0.25">
      <c r="B25" s="223" t="s">
        <v>25</v>
      </c>
      <c r="C25" s="224"/>
      <c r="D25" s="7">
        <f>E25+F25+G25</f>
        <v>3930212.0300000003</v>
      </c>
      <c r="E25" s="7">
        <f>D141+1527594.6</f>
        <v>1759565.4500000002</v>
      </c>
      <c r="F25" s="7">
        <f>F24</f>
        <v>261220.38</v>
      </c>
      <c r="G25" s="7">
        <f>G24</f>
        <v>1909426.2</v>
      </c>
      <c r="H25" s="2"/>
    </row>
    <row r="26" spans="1:8" x14ac:dyDescent="0.25">
      <c r="B26" s="223" t="s">
        <v>249</v>
      </c>
      <c r="C26" s="224"/>
      <c r="D26" s="7">
        <f>E26+F26+G26</f>
        <v>669011.55999999994</v>
      </c>
      <c r="E26" s="45">
        <f>G38+G97+F141</f>
        <v>178936.87</v>
      </c>
      <c r="F26" s="45">
        <f>G106-G97</f>
        <v>47425.310000000012</v>
      </c>
      <c r="G26" s="45">
        <f>H118</f>
        <v>442649.37999999995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193093.58</v>
      </c>
      <c r="F31" s="40">
        <v>191563.36</v>
      </c>
      <c r="G31" s="88">
        <f>30923.3-17077.77</f>
        <v>13845.529999999999</v>
      </c>
      <c r="H31" s="5"/>
    </row>
    <row r="32" spans="1:8" x14ac:dyDescent="0.25">
      <c r="B32" s="174" t="s">
        <v>34</v>
      </c>
      <c r="C32" s="212"/>
      <c r="D32" s="175"/>
      <c r="E32" s="88">
        <v>250316.85</v>
      </c>
      <c r="F32" s="40">
        <v>250313.27</v>
      </c>
      <c r="G32" s="88">
        <f>41688.71-23590.95</f>
        <v>18097.759999999998</v>
      </c>
      <c r="H32" s="5"/>
    </row>
    <row r="33" spans="2:8" x14ac:dyDescent="0.25">
      <c r="B33" s="174" t="s">
        <v>35</v>
      </c>
      <c r="C33" s="212"/>
      <c r="D33" s="175"/>
      <c r="E33" s="88">
        <v>165158.76</v>
      </c>
      <c r="F33" s="40">
        <v>164139.1</v>
      </c>
      <c r="G33" s="88">
        <f>26195.6-14577.55</f>
        <v>11618.05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389576.52</v>
      </c>
      <c r="F35" s="40">
        <v>388124.8</v>
      </c>
      <c r="G35" s="88">
        <f>60851.69-33940.38</f>
        <v>26911.310000000005</v>
      </c>
      <c r="H35" s="5"/>
    </row>
    <row r="36" spans="2:8" x14ac:dyDescent="0.25">
      <c r="B36" s="174" t="s">
        <v>38</v>
      </c>
      <c r="C36" s="212"/>
      <c r="D36" s="175"/>
      <c r="E36" s="88">
        <f>273959.39</f>
        <v>273959.39</v>
      </c>
      <c r="F36" s="40">
        <f>271101.51+2863.27</f>
        <v>273964.78000000003</v>
      </c>
      <c r="G36" s="88">
        <f>39548.98+3269.02+4916.45-28487.12</f>
        <v>19247.329999999998</v>
      </c>
      <c r="H36" s="5"/>
    </row>
    <row r="37" spans="2:8" ht="30" customHeight="1" x14ac:dyDescent="0.25">
      <c r="B37" s="174" t="s">
        <v>39</v>
      </c>
      <c r="C37" s="212"/>
      <c r="D37" s="175"/>
      <c r="E37" s="88">
        <f>266368.4+0</f>
        <v>266368.40000000002</v>
      </c>
      <c r="F37" s="40">
        <f>263944.08+2314.09</f>
        <v>266258.17000000004</v>
      </c>
      <c r="G37" s="88">
        <f>37644.18+4073.29-22923.22</f>
        <v>18794.25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1538473.5</v>
      </c>
      <c r="F38" s="41">
        <f>SUM(F31:F37)</f>
        <v>1534363.48</v>
      </c>
      <c r="G38" s="41">
        <f>SUM(G31:G37)</f>
        <v>108514.23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608569.18999999994</v>
      </c>
      <c r="G44" s="123"/>
      <c r="H44" s="123">
        <f t="shared" ref="H44" si="0">H45+H46+H47</f>
        <v>764310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193093.58</v>
      </c>
      <c r="G45" s="112"/>
      <c r="H45" s="105">
        <f>289462.2-25349.52</f>
        <v>264112.68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250316.85</v>
      </c>
      <c r="G46" s="112"/>
      <c r="H46" s="105">
        <f>341923.4-32154.71</f>
        <v>309768.69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165158.76</v>
      </c>
      <c r="G47" s="112"/>
      <c r="H47" s="105">
        <f>212171.2-21742.57</f>
        <v>190428.63</v>
      </c>
    </row>
    <row r="48" spans="2:8" hidden="1" x14ac:dyDescent="0.25">
      <c r="B48" s="174" t="s">
        <v>36</v>
      </c>
      <c r="C48" s="175"/>
      <c r="D48" s="88"/>
      <c r="E48" s="10"/>
      <c r="F48" s="105">
        <f>E34</f>
        <v>0</v>
      </c>
      <c r="G48" s="112"/>
      <c r="H48" s="105"/>
    </row>
    <row r="49" spans="2:8" x14ac:dyDescent="0.25">
      <c r="B49" s="202" t="s">
        <v>65</v>
      </c>
      <c r="C49" s="203"/>
      <c r="D49" s="88"/>
      <c r="E49" s="10"/>
      <c r="F49" s="113"/>
      <c r="G49" s="112"/>
      <c r="H49" s="113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386</v>
      </c>
      <c r="F51" s="151">
        <f>26753.73+1430+2140</f>
        <v>30323.73</v>
      </c>
      <c r="G51" s="150" t="s">
        <v>386</v>
      </c>
      <c r="H51" s="151">
        <f>26753.73+1430+2140</f>
        <v>30323.73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6767</v>
      </c>
      <c r="G52" s="149" t="s">
        <v>267</v>
      </c>
      <c r="H52" s="152">
        <v>7365.2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2750+10224.11</f>
        <v>12974.11</v>
      </c>
      <c r="G53" s="149" t="s">
        <v>267</v>
      </c>
      <c r="H53" s="152">
        <f>2537.84+9832.16</f>
        <v>12370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ht="16.5" customHeight="1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ht="16.5" customHeight="1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ht="16.5" customHeight="1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ht="16.5" customHeight="1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ht="16.5" customHeight="1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ht="16.5" customHeight="1" x14ac:dyDescent="0.25">
      <c r="B60" s="208" t="s">
        <v>69</v>
      </c>
      <c r="C60" s="209"/>
      <c r="D60" s="108" t="s">
        <v>272</v>
      </c>
      <c r="E60" s="161"/>
      <c r="F60" s="152"/>
      <c r="G60" s="161"/>
      <c r="H60" s="152"/>
    </row>
    <row r="61" spans="2:8" ht="16.5" customHeight="1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ht="16.5" customHeight="1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ht="16.5" customHeight="1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ht="16.5" customHeight="1" x14ac:dyDescent="0.25">
      <c r="B64" s="247" t="s">
        <v>283</v>
      </c>
      <c r="C64" s="248"/>
      <c r="D64" s="150"/>
      <c r="E64" s="150"/>
      <c r="F64" s="151"/>
      <c r="G64" s="150"/>
      <c r="H64" s="151">
        <v>435.38</v>
      </c>
    </row>
    <row r="65" spans="2:8" ht="16.5" customHeight="1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8" ht="39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8" ht="38.2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8" ht="39.7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8" ht="78" customHeight="1" x14ac:dyDescent="0.25">
      <c r="B69" s="208" t="s">
        <v>54</v>
      </c>
      <c r="C69" s="209"/>
      <c r="D69" s="150" t="s">
        <v>266</v>
      </c>
      <c r="E69" s="150" t="s">
        <v>271</v>
      </c>
      <c r="F69" s="151">
        <v>20003.689999999999</v>
      </c>
      <c r="G69" s="150" t="s">
        <v>271</v>
      </c>
      <c r="H69" s="151">
        <v>19270.02</v>
      </c>
    </row>
    <row r="70" spans="2:8" ht="16.5" customHeight="1" x14ac:dyDescent="0.25">
      <c r="B70" s="208" t="s">
        <v>55</v>
      </c>
      <c r="C70" s="209"/>
      <c r="D70" s="108" t="s">
        <v>266</v>
      </c>
      <c r="E70" s="108" t="s">
        <v>387</v>
      </c>
      <c r="F70" s="152">
        <v>15400</v>
      </c>
      <c r="G70" s="108" t="s">
        <v>317</v>
      </c>
      <c r="H70" s="152">
        <f>4881.47+22734.44</f>
        <v>27615.91</v>
      </c>
    </row>
    <row r="71" spans="2:8" ht="16.5" customHeight="1" x14ac:dyDescent="0.25">
      <c r="B71" s="208" t="s">
        <v>56</v>
      </c>
      <c r="C71" s="209"/>
      <c r="D71" s="108" t="s">
        <v>266</v>
      </c>
      <c r="E71" s="108" t="s">
        <v>271</v>
      </c>
      <c r="F71" s="152">
        <v>43706.27</v>
      </c>
      <c r="G71" s="108" t="s">
        <v>271</v>
      </c>
      <c r="H71" s="152">
        <v>43706.27</v>
      </c>
    </row>
    <row r="72" spans="2:8" ht="16.5" customHeight="1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</row>
    <row r="73" spans="2:8" ht="16.5" customHeight="1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8" ht="16.5" customHeight="1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8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8" ht="48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8" ht="42.75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8" ht="75.75" customHeight="1" x14ac:dyDescent="0.25">
      <c r="B78" s="208" t="s">
        <v>62</v>
      </c>
      <c r="C78" s="209"/>
      <c r="D78" s="150" t="s">
        <v>266</v>
      </c>
      <c r="E78" s="150" t="s">
        <v>271</v>
      </c>
      <c r="F78" s="151">
        <f>21418.1+15113.9+10506.99</f>
        <v>47038.99</v>
      </c>
      <c r="G78" s="150" t="s">
        <v>271</v>
      </c>
      <c r="H78" s="151">
        <f>21620.15+15134.11+10593.87</f>
        <v>47348.130000000005</v>
      </c>
    </row>
    <row r="79" spans="2:8" x14ac:dyDescent="0.25">
      <c r="B79" s="208" t="s">
        <v>290</v>
      </c>
      <c r="C79" s="209"/>
      <c r="D79" s="108" t="s">
        <v>291</v>
      </c>
      <c r="E79" s="161" t="s">
        <v>388</v>
      </c>
      <c r="F79" s="152">
        <f>3733.41+40441+19882.46</f>
        <v>64056.87</v>
      </c>
      <c r="G79" s="108" t="s">
        <v>389</v>
      </c>
      <c r="H79" s="152">
        <f>13852.96+3733.41+51692.41+1450.23+616.01</f>
        <v>71345.01999999999</v>
      </c>
    </row>
    <row r="80" spans="2:8" x14ac:dyDescent="0.25">
      <c r="B80" s="208" t="s">
        <v>282</v>
      </c>
      <c r="C80" s="209"/>
      <c r="D80" s="108"/>
      <c r="E80" s="108"/>
      <c r="F80" s="154"/>
      <c r="G80" s="108"/>
      <c r="H80" s="152"/>
    </row>
    <row r="81" spans="2:11" x14ac:dyDescent="0.25">
      <c r="B81" s="243" t="s">
        <v>63</v>
      </c>
      <c r="C81" s="244"/>
      <c r="D81" s="153"/>
      <c r="E81" s="108" t="s">
        <v>271</v>
      </c>
      <c r="F81" s="152">
        <v>39555.42</v>
      </c>
      <c r="G81" s="108" t="s">
        <v>271</v>
      </c>
      <c r="H81" s="152">
        <v>39555.42</v>
      </c>
    </row>
    <row r="82" spans="2:11" x14ac:dyDescent="0.25">
      <c r="B82" s="243" t="s">
        <v>64</v>
      </c>
      <c r="C82" s="244"/>
      <c r="D82" s="108"/>
      <c r="E82" s="108" t="s">
        <v>271</v>
      </c>
      <c r="F82" s="152">
        <v>33541.550000000003</v>
      </c>
      <c r="G82" s="108" t="s">
        <v>271</v>
      </c>
      <c r="H82" s="152">
        <v>32799.269999999997</v>
      </c>
    </row>
    <row r="83" spans="2:11" x14ac:dyDescent="0.25">
      <c r="B83" s="243" t="s">
        <v>294</v>
      </c>
      <c r="C83" s="244"/>
      <c r="D83" s="108"/>
      <c r="E83" s="108"/>
      <c r="F83" s="162"/>
      <c r="G83" s="163"/>
      <c r="H83" s="162"/>
    </row>
    <row r="84" spans="2:11" x14ac:dyDescent="0.25">
      <c r="B84" s="208" t="s">
        <v>295</v>
      </c>
      <c r="C84" s="209"/>
      <c r="D84" s="153" t="s">
        <v>296</v>
      </c>
      <c r="E84" s="108"/>
      <c r="F84" s="152">
        <v>6667.9</v>
      </c>
      <c r="G84" s="108"/>
      <c r="H84" s="152">
        <v>7514.08</v>
      </c>
    </row>
    <row r="85" spans="2:11" ht="17.25" customHeight="1" x14ac:dyDescent="0.25">
      <c r="B85" s="208" t="s">
        <v>71</v>
      </c>
      <c r="C85" s="209"/>
      <c r="D85" s="153" t="s">
        <v>297</v>
      </c>
      <c r="E85" s="108" t="s">
        <v>298</v>
      </c>
      <c r="F85" s="152">
        <v>2820</v>
      </c>
      <c r="G85" s="108" t="s">
        <v>390</v>
      </c>
      <c r="H85" s="152">
        <v>1341.84</v>
      </c>
    </row>
    <row r="86" spans="2:11" ht="18" customHeight="1" x14ac:dyDescent="0.25">
      <c r="B86" s="208" t="s">
        <v>364</v>
      </c>
      <c r="C86" s="209"/>
      <c r="D86" s="153"/>
      <c r="E86" s="108"/>
      <c r="F86" s="152"/>
      <c r="G86" s="108" t="s">
        <v>391</v>
      </c>
      <c r="H86" s="152">
        <v>5600</v>
      </c>
    </row>
    <row r="87" spans="2:11" ht="18.75" customHeight="1" x14ac:dyDescent="0.25">
      <c r="B87" s="208" t="s">
        <v>72</v>
      </c>
      <c r="C87" s="209"/>
      <c r="D87" s="108" t="s">
        <v>299</v>
      </c>
      <c r="E87" s="108" t="s">
        <v>392</v>
      </c>
      <c r="F87" s="152">
        <v>4749.18</v>
      </c>
      <c r="G87" s="108" t="s">
        <v>393</v>
      </c>
      <c r="H87" s="152">
        <v>4749.18</v>
      </c>
    </row>
    <row r="88" spans="2:11" ht="24.75" customHeight="1" x14ac:dyDescent="0.25">
      <c r="B88" s="208" t="s">
        <v>301</v>
      </c>
      <c r="C88" s="209"/>
      <c r="D88" s="108" t="s">
        <v>291</v>
      </c>
      <c r="E88" s="108" t="s">
        <v>271</v>
      </c>
      <c r="F88" s="152">
        <v>37360.43</v>
      </c>
      <c r="G88" s="108" t="s">
        <v>271</v>
      </c>
      <c r="H88" s="161">
        <v>37360.43</v>
      </c>
    </row>
    <row r="89" spans="2:11" x14ac:dyDescent="0.25">
      <c r="B89" s="208" t="s">
        <v>282</v>
      </c>
      <c r="C89" s="209"/>
      <c r="D89" s="108"/>
      <c r="E89" s="108"/>
      <c r="F89" s="154"/>
      <c r="G89" s="108"/>
      <c r="H89" s="154"/>
    </row>
    <row r="90" spans="2:11" x14ac:dyDescent="0.25">
      <c r="B90" s="208" t="s">
        <v>302</v>
      </c>
      <c r="C90" s="209"/>
      <c r="D90" s="108" t="s">
        <v>291</v>
      </c>
      <c r="E90" s="108" t="s">
        <v>394</v>
      </c>
      <c r="F90" s="152">
        <v>16568.72</v>
      </c>
      <c r="G90" s="108" t="s">
        <v>394</v>
      </c>
      <c r="H90" s="152">
        <v>13630.14</v>
      </c>
    </row>
    <row r="91" spans="2:11" x14ac:dyDescent="0.25">
      <c r="B91" s="208" t="s">
        <v>311</v>
      </c>
      <c r="C91" s="209"/>
      <c r="D91" s="108"/>
      <c r="E91" s="108" t="s">
        <v>395</v>
      </c>
      <c r="F91" s="152">
        <v>5400</v>
      </c>
      <c r="G91" s="108" t="s">
        <v>395</v>
      </c>
      <c r="H91" s="152">
        <v>5400</v>
      </c>
    </row>
    <row r="92" spans="2:11" x14ac:dyDescent="0.25">
      <c r="B92" s="208" t="s">
        <v>320</v>
      </c>
      <c r="C92" s="209"/>
      <c r="D92" s="108"/>
      <c r="E92" s="108"/>
      <c r="F92" s="152">
        <v>206148.94</v>
      </c>
      <c r="G92" s="108"/>
      <c r="H92" s="152">
        <v>206148.94</v>
      </c>
      <c r="K92" s="5"/>
    </row>
    <row r="93" spans="2:11" x14ac:dyDescent="0.25">
      <c r="B93" s="206" t="s">
        <v>73</v>
      </c>
      <c r="C93" s="207"/>
      <c r="D93" s="108"/>
      <c r="E93" s="108"/>
      <c r="F93" s="165">
        <v>1411100</v>
      </c>
      <c r="G93" s="165"/>
      <c r="H93" s="165">
        <f>1527594.6-133844.2</f>
        <v>1393750.4000000001</v>
      </c>
    </row>
    <row r="94" spans="2:11" x14ac:dyDescent="0.25">
      <c r="B94" s="9"/>
      <c r="C94" s="9"/>
      <c r="D94" s="5"/>
      <c r="E94" s="5"/>
      <c r="F94" s="15"/>
      <c r="G94" s="5"/>
      <c r="H94" s="15"/>
    </row>
    <row r="95" spans="2:11" x14ac:dyDescent="0.25">
      <c r="B95" s="201" t="s">
        <v>177</v>
      </c>
      <c r="C95" s="201"/>
      <c r="D95" s="201"/>
      <c r="E95" s="201"/>
      <c r="F95" s="201"/>
      <c r="G95" s="201"/>
    </row>
    <row r="96" spans="2:11" ht="63" customHeight="1" x14ac:dyDescent="0.25">
      <c r="B96" s="194" t="s">
        <v>29</v>
      </c>
      <c r="C96" s="194"/>
      <c r="D96" s="91" t="s">
        <v>30</v>
      </c>
      <c r="E96" s="91" t="s">
        <v>31</v>
      </c>
      <c r="F96" s="89" t="s">
        <v>82</v>
      </c>
      <c r="G96" s="89" t="s">
        <v>32</v>
      </c>
    </row>
    <row r="97" spans="2:8" x14ac:dyDescent="0.25">
      <c r="B97" s="181" t="s">
        <v>83</v>
      </c>
      <c r="C97" s="183"/>
      <c r="D97" s="88">
        <v>114394.76</v>
      </c>
      <c r="E97" s="88">
        <v>79901.25</v>
      </c>
      <c r="F97" s="88">
        <f>E97</f>
        <v>79901.25</v>
      </c>
      <c r="G97" s="85">
        <f>50545.72-28598.69</f>
        <v>21947.030000000002</v>
      </c>
    </row>
    <row r="98" spans="2:8" x14ac:dyDescent="0.25">
      <c r="B98" s="181" t="s">
        <v>84</v>
      </c>
      <c r="C98" s="183"/>
      <c r="D98" s="88">
        <f>63491.75-609.13+17196.2-169.55+19631.5-175.71+33571.51</f>
        <v>132936.57</v>
      </c>
      <c r="E98" s="88">
        <f>67133.85+18228.31+19983.33+33777</f>
        <v>139122.49</v>
      </c>
      <c r="F98" s="88">
        <f t="shared" ref="F98:F105" si="1">E98</f>
        <v>139122.49</v>
      </c>
      <c r="G98" s="85">
        <f>28273.27+7910.79+7669.37-15866.55+25.55-4297.32+6.92-4905.9+7.9+2221.29</f>
        <v>21045.32</v>
      </c>
    </row>
    <row r="99" spans="2:8" ht="30" customHeight="1" x14ac:dyDescent="0.25">
      <c r="B99" s="174" t="s">
        <v>85</v>
      </c>
      <c r="C99" s="175"/>
      <c r="D99" s="88">
        <v>40060.080000000002</v>
      </c>
      <c r="E99" s="88">
        <v>41856.82</v>
      </c>
      <c r="F99" s="88">
        <f t="shared" si="1"/>
        <v>41856.82</v>
      </c>
      <c r="G99" s="85">
        <f>18304.16-10015.02</f>
        <v>8289.14</v>
      </c>
    </row>
    <row r="100" spans="2:8" ht="30" customHeight="1" x14ac:dyDescent="0.25">
      <c r="B100" s="174" t="s">
        <v>86</v>
      </c>
      <c r="C100" s="175"/>
      <c r="D100" s="88">
        <v>10237.879999999999</v>
      </c>
      <c r="E100" s="88">
        <v>10655.42</v>
      </c>
      <c r="F100" s="88">
        <f t="shared" si="1"/>
        <v>10655.42</v>
      </c>
      <c r="G100" s="85">
        <f>4524.93-2559.47</f>
        <v>1965.4600000000005</v>
      </c>
    </row>
    <row r="101" spans="2:8" x14ac:dyDescent="0.25">
      <c r="B101" s="174" t="s">
        <v>87</v>
      </c>
      <c r="C101" s="175"/>
      <c r="D101" s="88"/>
      <c r="E101" s="88"/>
      <c r="F101" s="88">
        <f t="shared" si="1"/>
        <v>0</v>
      </c>
      <c r="G101" s="85"/>
    </row>
    <row r="102" spans="2:8" x14ac:dyDescent="0.25">
      <c r="B102" s="174" t="s">
        <v>88</v>
      </c>
      <c r="C102" s="175"/>
      <c r="D102" s="88">
        <v>7121.57</v>
      </c>
      <c r="E102" s="88">
        <v>7496.06</v>
      </c>
      <c r="F102" s="88">
        <f t="shared" si="1"/>
        <v>7496.06</v>
      </c>
      <c r="G102" s="85">
        <f>3239.59-1780.4</f>
        <v>1459.19</v>
      </c>
    </row>
    <row r="103" spans="2:8" x14ac:dyDescent="0.25">
      <c r="B103" s="174" t="s">
        <v>150</v>
      </c>
      <c r="C103" s="175"/>
      <c r="D103" s="88">
        <v>28560</v>
      </c>
      <c r="E103" s="88">
        <f>30051.08+21.15</f>
        <v>30072.230000000003</v>
      </c>
      <c r="F103" s="88">
        <f t="shared" si="1"/>
        <v>30072.230000000003</v>
      </c>
      <c r="G103" s="85">
        <f>14800.34+364.34-7140</f>
        <v>8024.68</v>
      </c>
    </row>
    <row r="104" spans="2:8" x14ac:dyDescent="0.25">
      <c r="B104" s="174" t="s">
        <v>89</v>
      </c>
      <c r="C104" s="175"/>
      <c r="D104" s="88">
        <v>19899.919999999998</v>
      </c>
      <c r="E104" s="88">
        <v>21293.06</v>
      </c>
      <c r="F104" s="88">
        <f t="shared" si="1"/>
        <v>21293.06</v>
      </c>
      <c r="G104" s="85">
        <f>8780.53-4974.98</f>
        <v>3805.5500000000011</v>
      </c>
    </row>
    <row r="105" spans="2:8" ht="30" x14ac:dyDescent="0.25">
      <c r="B105" s="86" t="s">
        <v>81</v>
      </c>
      <c r="C105" s="87"/>
      <c r="D105" s="88">
        <v>-225.88</v>
      </c>
      <c r="E105" s="88">
        <f>655.77+9434.39+68.03+566.11</f>
        <v>10724.300000000001</v>
      </c>
      <c r="F105" s="88">
        <f t="shared" si="1"/>
        <v>10724.300000000001</v>
      </c>
      <c r="G105" s="85">
        <f>-310.03+1160.67+158.71+1826.62</f>
        <v>2835.9700000000003</v>
      </c>
    </row>
    <row r="106" spans="2:8" ht="18.75" customHeight="1" x14ac:dyDescent="0.25">
      <c r="B106" s="202" t="s">
        <v>90</v>
      </c>
      <c r="C106" s="203"/>
      <c r="D106" s="90">
        <f>SUM(D97:D105)</f>
        <v>352984.9</v>
      </c>
      <c r="E106" s="90">
        <f>SUM(E97:E105)</f>
        <v>341121.62999999995</v>
      </c>
      <c r="F106" s="88">
        <f>E106</f>
        <v>341121.62999999995</v>
      </c>
      <c r="G106" s="90">
        <f>SUM(G97:G105)</f>
        <v>69372.340000000011</v>
      </c>
    </row>
    <row r="107" spans="2:8" x14ac:dyDescent="0.25">
      <c r="B107" s="202" t="s">
        <v>91</v>
      </c>
      <c r="C107" s="203"/>
      <c r="D107" s="96">
        <f>D106+F118+E38+C141</f>
        <v>4272743.37</v>
      </c>
      <c r="E107" s="96">
        <f>E106+G118+F38+D141</f>
        <v>4016882.16</v>
      </c>
      <c r="F107" s="96">
        <f>E107</f>
        <v>4016882.16</v>
      </c>
      <c r="G107" s="96">
        <f>G38+G106+H118+F141</f>
        <v>669011.55999999994</v>
      </c>
    </row>
    <row r="108" spans="2:8" x14ac:dyDescent="0.25">
      <c r="B108" s="16"/>
      <c r="C108" s="16"/>
      <c r="D108" s="16"/>
      <c r="E108" s="17"/>
      <c r="F108" s="17"/>
      <c r="G108" s="17"/>
      <c r="H108" s="17"/>
    </row>
    <row r="109" spans="2:8" x14ac:dyDescent="0.25">
      <c r="B109" s="204" t="s">
        <v>176</v>
      </c>
      <c r="C109" s="201"/>
      <c r="D109" s="201"/>
      <c r="E109" s="201"/>
      <c r="F109" s="201"/>
    </row>
    <row r="110" spans="2:8" ht="38.25" customHeight="1" x14ac:dyDescent="0.25">
      <c r="B110" s="194" t="s">
        <v>29</v>
      </c>
      <c r="C110" s="194" t="s">
        <v>93</v>
      </c>
      <c r="D110" s="194"/>
      <c r="E110" s="205" t="s">
        <v>94</v>
      </c>
      <c r="F110" s="194" t="s">
        <v>30</v>
      </c>
      <c r="G110" s="194" t="s">
        <v>31</v>
      </c>
      <c r="H110" s="195" t="s">
        <v>95</v>
      </c>
    </row>
    <row r="111" spans="2:8" ht="35.25" customHeight="1" x14ac:dyDescent="0.25">
      <c r="B111" s="194"/>
      <c r="C111" s="91" t="s">
        <v>96</v>
      </c>
      <c r="D111" s="19" t="s">
        <v>97</v>
      </c>
      <c r="E111" s="205"/>
      <c r="F111" s="194"/>
      <c r="G111" s="194"/>
      <c r="H111" s="195"/>
    </row>
    <row r="112" spans="2:8" x14ac:dyDescent="0.25">
      <c r="B112" s="10" t="s">
        <v>98</v>
      </c>
      <c r="C112" s="88">
        <v>1400.08</v>
      </c>
      <c r="D112" s="42">
        <v>1439.26</v>
      </c>
      <c r="E112" s="110">
        <f>F112/D112</f>
        <v>580.48955018551203</v>
      </c>
      <c r="F112" s="88">
        <f>-4503.9+835475.39+4503.9</f>
        <v>835475.39</v>
      </c>
      <c r="G112" s="88">
        <f>1817.2+496217.81</f>
        <v>498035.01</v>
      </c>
      <c r="H112" s="88">
        <f>2507.47+462842.21-338507.69</f>
        <v>126841.98999999999</v>
      </c>
    </row>
    <row r="113" spans="2:8" x14ac:dyDescent="0.25">
      <c r="B113" s="10" t="s">
        <v>147</v>
      </c>
      <c r="C113" s="88">
        <v>22.15</v>
      </c>
      <c r="D113" s="42">
        <v>26.44</v>
      </c>
      <c r="E113" s="110">
        <v>4282.5</v>
      </c>
      <c r="F113" s="88">
        <f>497261.53+13141.76+74303.42-36259.8+14653.8-631.2+98681.67+2720.42</f>
        <v>663871.60000000021</v>
      </c>
      <c r="G113" s="88">
        <f>509167.92+78317.42+14978.6+94204.52</f>
        <v>696668.46</v>
      </c>
      <c r="H113" s="88">
        <f>285072.64-10035.61+4628.56+53369.16-136529.42+1621.84-12665.08+230.1-2610.89+59.32-28146.88+46.61</f>
        <v>155040.34999999998</v>
      </c>
    </row>
    <row r="114" spans="2:8" x14ac:dyDescent="0.25">
      <c r="B114" s="10" t="s">
        <v>99</v>
      </c>
      <c r="C114" s="88">
        <v>18.43</v>
      </c>
      <c r="D114" s="42">
        <v>19.22</v>
      </c>
      <c r="E114" s="110">
        <v>6521</v>
      </c>
      <c r="F114" s="88">
        <f>11237.63-2165.31+114211.04+2023.75-18.35</f>
        <v>125288.75999999998</v>
      </c>
      <c r="G114" s="88">
        <f>15304.35+129676.26+1720.98</f>
        <v>146701.59</v>
      </c>
      <c r="H114" s="88">
        <f>4005+68731.26+1027.74-1286.48-12.8-27062.72+114.59</f>
        <v>45516.59</v>
      </c>
    </row>
    <row r="115" spans="2:8" x14ac:dyDescent="0.25">
      <c r="B115" s="10" t="s">
        <v>100</v>
      </c>
      <c r="C115" s="88">
        <v>12.31</v>
      </c>
      <c r="D115" s="42">
        <v>12.84</v>
      </c>
      <c r="E115" s="110">
        <v>10479.5</v>
      </c>
      <c r="F115" s="88">
        <f>124221.65-535.7-463.83</f>
        <v>123222.12</v>
      </c>
      <c r="G115" s="88">
        <f>134101.44+122.23</f>
        <v>134223.67000000001</v>
      </c>
      <c r="H115" s="88">
        <f>71400.04-31748.27+99.17</f>
        <v>39750.939999999988</v>
      </c>
    </row>
    <row r="116" spans="2:8" x14ac:dyDescent="0.25">
      <c r="B116" s="10" t="s">
        <v>101</v>
      </c>
      <c r="C116" s="88" t="s">
        <v>145</v>
      </c>
      <c r="D116" s="42" t="s">
        <v>146</v>
      </c>
      <c r="E116" s="110">
        <v>138937.68</v>
      </c>
      <c r="F116" s="88">
        <f>41487.48+10144.93+336298.01-14890.55</f>
        <v>373039.87000000005</v>
      </c>
      <c r="G116" s="88">
        <f>51606.33+341522.98</f>
        <v>393129.31</v>
      </c>
      <c r="H116" s="88">
        <f>33250.1+146217.56-16986.83+381-87492.64-1803.25</f>
        <v>73565.940000000017</v>
      </c>
    </row>
    <row r="117" spans="2:8" x14ac:dyDescent="0.25">
      <c r="B117" s="10" t="s">
        <v>102</v>
      </c>
      <c r="C117" s="88">
        <v>2.2999999999999998</v>
      </c>
      <c r="D117" s="42">
        <v>2.39</v>
      </c>
      <c r="E117" s="110">
        <f t="shared" ref="E117" si="2">F117/D117</f>
        <v>16462.623430962343</v>
      </c>
      <c r="F117" s="88">
        <f>39786.35-440.68</f>
        <v>39345.67</v>
      </c>
      <c r="G117" s="88">
        <v>40668.160000000003</v>
      </c>
      <c r="H117" s="88">
        <f>11824.12-9822.04-68.51</f>
        <v>1933.57</v>
      </c>
    </row>
    <row r="118" spans="2:8" x14ac:dyDescent="0.25">
      <c r="B118" s="11" t="s">
        <v>103</v>
      </c>
      <c r="C118" s="90"/>
      <c r="D118" s="42"/>
      <c r="E118" s="4"/>
      <c r="F118" s="90">
        <f>SUM(F112:F117)</f>
        <v>2160243.41</v>
      </c>
      <c r="G118" s="90">
        <f>SUM(G112:G117)</f>
        <v>1909426.2</v>
      </c>
      <c r="H118" s="90">
        <f>SUM(H112:H117)</f>
        <v>442649.37999999995</v>
      </c>
    </row>
    <row r="119" spans="2:8" x14ac:dyDescent="0.25">
      <c r="B119" s="9"/>
      <c r="C119" s="138"/>
      <c r="D119" s="144"/>
      <c r="E119" s="121"/>
      <c r="F119" s="138"/>
      <c r="G119" s="138"/>
      <c r="H119" s="138"/>
    </row>
    <row r="120" spans="2:8" x14ac:dyDescent="0.25">
      <c r="B120" s="16"/>
      <c r="C120" s="16" t="s">
        <v>244</v>
      </c>
      <c r="D120" s="16"/>
      <c r="E120" s="17"/>
      <c r="F120" s="17"/>
      <c r="G120" s="17"/>
      <c r="H120" s="138"/>
    </row>
    <row r="121" spans="2:8" x14ac:dyDescent="0.25">
      <c r="B121" s="137" t="s">
        <v>228</v>
      </c>
      <c r="C121" s="137" t="s">
        <v>229</v>
      </c>
      <c r="D121" s="137"/>
      <c r="E121" s="131" t="s">
        <v>230</v>
      </c>
      <c r="F121" s="17"/>
      <c r="G121" s="17"/>
      <c r="H121" s="138"/>
    </row>
    <row r="122" spans="2:8" x14ac:dyDescent="0.25">
      <c r="B122" s="133" t="s">
        <v>231</v>
      </c>
      <c r="C122" s="199">
        <v>7</v>
      </c>
      <c r="D122" s="200"/>
      <c r="E122" s="105">
        <v>100</v>
      </c>
      <c r="F122" s="17"/>
      <c r="G122" s="17"/>
      <c r="H122" s="138"/>
    </row>
    <row r="123" spans="2:8" x14ac:dyDescent="0.25">
      <c r="B123" s="133" t="s">
        <v>232</v>
      </c>
      <c r="C123" s="199">
        <v>6</v>
      </c>
      <c r="D123" s="200"/>
      <c r="E123" s="105">
        <v>100</v>
      </c>
      <c r="F123" s="17"/>
      <c r="G123" s="17"/>
      <c r="H123" s="138"/>
    </row>
    <row r="124" spans="2:8" x14ac:dyDescent="0.25">
      <c r="B124" s="133" t="s">
        <v>233</v>
      </c>
      <c r="C124" s="199"/>
      <c r="D124" s="200"/>
      <c r="E124" s="105"/>
      <c r="F124" s="17"/>
      <c r="G124" s="17"/>
      <c r="H124" s="138"/>
    </row>
    <row r="125" spans="2:8" x14ac:dyDescent="0.25">
      <c r="B125" s="133" t="s">
        <v>234</v>
      </c>
      <c r="C125" s="199">
        <v>1</v>
      </c>
      <c r="D125" s="200"/>
      <c r="E125" s="105">
        <v>100</v>
      </c>
      <c r="F125" s="17"/>
      <c r="G125" s="17"/>
      <c r="H125" s="138"/>
    </row>
    <row r="126" spans="2:8" x14ac:dyDescent="0.25">
      <c r="B126" s="133" t="s">
        <v>235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236</v>
      </c>
      <c r="C127" s="199"/>
      <c r="D127" s="200"/>
      <c r="E127" s="105"/>
      <c r="F127" s="17"/>
      <c r="G127" s="17"/>
      <c r="H127" s="17"/>
    </row>
    <row r="128" spans="2:8" x14ac:dyDescent="0.25">
      <c r="B128" s="133" t="s">
        <v>70</v>
      </c>
      <c r="C128" s="199">
        <v>11</v>
      </c>
      <c r="D128" s="200"/>
      <c r="E128" s="105">
        <v>100</v>
      </c>
      <c r="F128" s="17"/>
      <c r="G128" s="17"/>
      <c r="H128" s="17"/>
    </row>
    <row r="129" spans="2:8" x14ac:dyDescent="0.25">
      <c r="B129" s="133" t="s">
        <v>237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238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239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240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241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242</v>
      </c>
      <c r="C134" s="199"/>
      <c r="D134" s="200"/>
      <c r="E134" s="105"/>
      <c r="F134" s="17"/>
      <c r="G134" s="17"/>
      <c r="H134" s="17"/>
    </row>
    <row r="135" spans="2:8" x14ac:dyDescent="0.25">
      <c r="B135" s="133" t="s">
        <v>243</v>
      </c>
      <c r="C135" s="199"/>
      <c r="D135" s="200"/>
      <c r="E135" s="105"/>
      <c r="F135" s="17"/>
      <c r="G135" s="17"/>
      <c r="H135" s="17"/>
    </row>
    <row r="136" spans="2:8" x14ac:dyDescent="0.25">
      <c r="B136" s="139" t="s">
        <v>103</v>
      </c>
      <c r="C136" s="245">
        <f>SUM(C122:C135)</f>
        <v>25</v>
      </c>
      <c r="D136" s="246"/>
      <c r="E136" s="123">
        <v>100</v>
      </c>
      <c r="F136" s="9"/>
      <c r="G136" s="9"/>
      <c r="H136" s="17"/>
    </row>
    <row r="137" spans="2:8" x14ac:dyDescent="0.25">
      <c r="B137" s="12"/>
      <c r="C137" s="12"/>
      <c r="D137" s="9"/>
      <c r="E137" s="9"/>
      <c r="F137" s="9"/>
      <c r="G137" s="9"/>
    </row>
    <row r="138" spans="2:8" ht="44.25" customHeight="1" x14ac:dyDescent="0.25">
      <c r="B138" s="33"/>
      <c r="C138" s="90" t="s">
        <v>30</v>
      </c>
      <c r="D138" s="90" t="s">
        <v>31</v>
      </c>
      <c r="E138" s="89" t="s">
        <v>104</v>
      </c>
      <c r="F138" s="89" t="s">
        <v>32</v>
      </c>
    </row>
    <row r="139" spans="2:8" x14ac:dyDescent="0.25">
      <c r="B139" s="32" t="s">
        <v>105</v>
      </c>
      <c r="C139" s="88">
        <f>207797.5+4132.5</f>
        <v>211930</v>
      </c>
      <c r="D139" s="88">
        <f>217500.99+1298.23+166.94</f>
        <v>218966.16</v>
      </c>
      <c r="E139" s="88"/>
      <c r="F139" s="85">
        <f>102354.87+533.71+376.88-52112.5-4132.5</f>
        <v>47020.460000000006</v>
      </c>
    </row>
    <row r="140" spans="2:8" x14ac:dyDescent="0.25">
      <c r="B140" s="32" t="s">
        <v>106</v>
      </c>
      <c r="C140" s="88">
        <f>12558.16-3446.6</f>
        <v>9111.56</v>
      </c>
      <c r="D140" s="88">
        <v>13004.69</v>
      </c>
      <c r="E140" s="88"/>
      <c r="F140" s="85">
        <f>1012.04-3003.49+3446.6</f>
        <v>1455.15</v>
      </c>
    </row>
    <row r="141" spans="2:8" ht="28.5" x14ac:dyDescent="0.25">
      <c r="B141" s="33" t="s">
        <v>178</v>
      </c>
      <c r="C141" s="90">
        <f>SUM(C139:C140)</f>
        <v>221041.56</v>
      </c>
      <c r="D141" s="90">
        <f>SUM(D139:D140)</f>
        <v>231970.85</v>
      </c>
      <c r="E141" s="90"/>
      <c r="F141" s="90">
        <f>SUM(F139:F140)</f>
        <v>48475.610000000008</v>
      </c>
    </row>
    <row r="143" spans="2:8" x14ac:dyDescent="0.25">
      <c r="B143" s="177" t="s">
        <v>108</v>
      </c>
      <c r="C143" s="178"/>
      <c r="D143" s="179"/>
      <c r="E143" s="196">
        <f>G107</f>
        <v>669011.55999999994</v>
      </c>
      <c r="F143" s="197"/>
    </row>
    <row r="145" spans="2:6" x14ac:dyDescent="0.25">
      <c r="B145" s="198" t="s">
        <v>109</v>
      </c>
      <c r="C145" s="198"/>
      <c r="D145" s="198"/>
      <c r="E145" s="193"/>
      <c r="F145" s="193"/>
    </row>
    <row r="146" spans="2:6" x14ac:dyDescent="0.25">
      <c r="B146" s="192" t="s">
        <v>110</v>
      </c>
      <c r="C146" s="192"/>
      <c r="D146" s="192"/>
      <c r="E146" s="193"/>
      <c r="F146" s="193"/>
    </row>
    <row r="147" spans="2:6" x14ac:dyDescent="0.25">
      <c r="B147" s="192" t="s">
        <v>111</v>
      </c>
      <c r="C147" s="192"/>
      <c r="D147" s="192"/>
      <c r="E147" s="193"/>
      <c r="F147" s="193"/>
    </row>
    <row r="148" spans="2:6" x14ac:dyDescent="0.25">
      <c r="B148" s="192" t="s">
        <v>112</v>
      </c>
      <c r="C148" s="192"/>
      <c r="D148" s="192"/>
      <c r="E148" s="193"/>
      <c r="F148" s="193"/>
    </row>
    <row r="149" spans="2:6" x14ac:dyDescent="0.25">
      <c r="B149" s="192" t="s">
        <v>113</v>
      </c>
      <c r="C149" s="192"/>
      <c r="D149" s="192"/>
      <c r="E149" s="193"/>
      <c r="F149" s="193"/>
    </row>
    <row r="151" spans="2:6" x14ac:dyDescent="0.25">
      <c r="B151" s="177" t="s">
        <v>114</v>
      </c>
      <c r="C151" s="178"/>
      <c r="D151" s="179"/>
      <c r="E151" s="193"/>
      <c r="F151" s="193"/>
    </row>
    <row r="153" spans="2:6" hidden="1" x14ac:dyDescent="0.25">
      <c r="B153" s="181" t="s">
        <v>123</v>
      </c>
      <c r="C153" s="183"/>
      <c r="D153" s="88" t="s">
        <v>124</v>
      </c>
      <c r="E153" s="176" t="s">
        <v>122</v>
      </c>
      <c r="F153" s="176"/>
    </row>
    <row r="154" spans="2:6" hidden="1" x14ac:dyDescent="0.25">
      <c r="B154" s="181" t="s">
        <v>125</v>
      </c>
      <c r="C154" s="183"/>
      <c r="D154" s="88" t="s">
        <v>126</v>
      </c>
      <c r="E154" s="176" t="s">
        <v>122</v>
      </c>
      <c r="F154" s="176"/>
    </row>
    <row r="155" spans="2:6" ht="30" hidden="1" customHeight="1" x14ac:dyDescent="0.25">
      <c r="B155" s="174" t="s">
        <v>127</v>
      </c>
      <c r="C155" s="175"/>
      <c r="D155" s="88" t="s">
        <v>128</v>
      </c>
      <c r="E155" s="176" t="s">
        <v>122</v>
      </c>
      <c r="F155" s="176"/>
    </row>
    <row r="156" spans="2:6" ht="30" hidden="1" customHeight="1" x14ac:dyDescent="0.25">
      <c r="B156" s="174" t="s">
        <v>129</v>
      </c>
      <c r="C156" s="175"/>
      <c r="D156" s="88" t="s">
        <v>130</v>
      </c>
      <c r="E156" s="176"/>
      <c r="F156" s="176"/>
    </row>
    <row r="157" spans="2:6" ht="30" hidden="1" x14ac:dyDescent="0.25">
      <c r="B157" s="174" t="s">
        <v>131</v>
      </c>
      <c r="C157" s="175"/>
      <c r="D157" s="24" t="s">
        <v>132</v>
      </c>
      <c r="E157" s="176" t="s">
        <v>133</v>
      </c>
      <c r="F157" s="176"/>
    </row>
    <row r="158" spans="2:6" hidden="1" x14ac:dyDescent="0.25">
      <c r="B158" s="181" t="s">
        <v>134</v>
      </c>
      <c r="C158" s="183"/>
      <c r="D158" s="10" t="s">
        <v>135</v>
      </c>
      <c r="E158" s="176"/>
      <c r="F158" s="176"/>
    </row>
    <row r="159" spans="2:6" ht="30" hidden="1" customHeight="1" x14ac:dyDescent="0.25">
      <c r="B159" s="174" t="s">
        <v>136</v>
      </c>
      <c r="C159" s="175"/>
      <c r="D159" s="10" t="s">
        <v>137</v>
      </c>
      <c r="E159" s="176"/>
      <c r="F159" s="176"/>
    </row>
    <row r="160" spans="2:6" ht="30" hidden="1" customHeight="1" x14ac:dyDescent="0.25">
      <c r="B160" s="174" t="s">
        <v>138</v>
      </c>
      <c r="C160" s="175"/>
      <c r="D160" s="88" t="s">
        <v>139</v>
      </c>
      <c r="E160" s="176"/>
      <c r="F160" s="176"/>
    </row>
    <row r="161" spans="2:8" x14ac:dyDescent="0.25">
      <c r="B161" s="177" t="s">
        <v>74</v>
      </c>
      <c r="C161" s="178"/>
      <c r="D161" s="179"/>
      <c r="E161" s="180">
        <v>1200</v>
      </c>
      <c r="F161" s="180"/>
      <c r="G161" s="25"/>
      <c r="H161" s="25"/>
    </row>
    <row r="162" spans="2:8" x14ac:dyDescent="0.25">
      <c r="B162" s="181" t="s">
        <v>75</v>
      </c>
      <c r="C162" s="182"/>
      <c r="D162" s="183"/>
      <c r="E162" s="176"/>
      <c r="F162" s="176"/>
      <c r="G162" s="26"/>
      <c r="H162" s="26"/>
    </row>
    <row r="163" spans="2:8" x14ac:dyDescent="0.25">
      <c r="B163" s="181" t="s">
        <v>76</v>
      </c>
      <c r="C163" s="182"/>
      <c r="D163" s="183"/>
      <c r="E163" s="184"/>
      <c r="F163" s="184"/>
      <c r="G163" s="27"/>
      <c r="H163" s="27"/>
    </row>
    <row r="164" spans="2:8" x14ac:dyDescent="0.25">
      <c r="B164" s="181" t="s">
        <v>77</v>
      </c>
      <c r="C164" s="182"/>
      <c r="D164" s="183"/>
      <c r="E164" s="184"/>
      <c r="F164" s="184"/>
      <c r="G164" s="27"/>
      <c r="H164" s="27"/>
    </row>
    <row r="165" spans="2:8" x14ac:dyDescent="0.25">
      <c r="B165" s="177" t="s">
        <v>78</v>
      </c>
      <c r="C165" s="178"/>
      <c r="D165" s="179"/>
      <c r="E165" s="180"/>
      <c r="F165" s="180"/>
      <c r="G165" s="25"/>
      <c r="H165" s="25"/>
    </row>
    <row r="166" spans="2:8" x14ac:dyDescent="0.25">
      <c r="B166" s="181" t="s">
        <v>79</v>
      </c>
      <c r="C166" s="182"/>
      <c r="D166" s="183"/>
      <c r="E166" s="184">
        <v>5400</v>
      </c>
      <c r="F166" s="184"/>
      <c r="G166" s="27"/>
      <c r="H166" s="27"/>
    </row>
    <row r="167" spans="2:8" x14ac:dyDescent="0.25">
      <c r="B167" s="177" t="s">
        <v>80</v>
      </c>
      <c r="C167" s="178"/>
      <c r="D167" s="179"/>
      <c r="E167" s="184"/>
      <c r="F167" s="184"/>
      <c r="G167" s="27"/>
      <c r="H167" s="27"/>
    </row>
    <row r="168" spans="2:8" x14ac:dyDescent="0.25">
      <c r="B168" s="16"/>
      <c r="C168" s="16"/>
      <c r="D168" s="16"/>
      <c r="E168" s="17"/>
      <c r="F168" s="17"/>
      <c r="G168" s="17"/>
      <c r="H168" s="17"/>
    </row>
    <row r="169" spans="2:8" ht="36" customHeight="1" x14ac:dyDescent="0.25">
      <c r="B169" s="185" t="s">
        <v>115</v>
      </c>
      <c r="C169" s="186"/>
      <c r="D169" s="186"/>
      <c r="E169" s="186"/>
      <c r="F169" s="21" t="s">
        <v>116</v>
      </c>
    </row>
    <row r="170" spans="2:8" ht="14.45" customHeight="1" x14ac:dyDescent="0.25">
      <c r="B170" s="187" t="s">
        <v>117</v>
      </c>
      <c r="C170" s="188" t="s">
        <v>118</v>
      </c>
      <c r="D170" s="190" t="s">
        <v>119</v>
      </c>
      <c r="E170" s="191"/>
      <c r="F170" s="4"/>
    </row>
    <row r="171" spans="2:8" x14ac:dyDescent="0.25">
      <c r="B171" s="187"/>
      <c r="C171" s="189"/>
      <c r="D171" s="83" t="s">
        <v>120</v>
      </c>
      <c r="E171" s="83" t="s">
        <v>121</v>
      </c>
      <c r="F171" s="4"/>
    </row>
    <row r="172" spans="2:8" x14ac:dyDescent="0.25">
      <c r="B172" s="115"/>
      <c r="C172" s="124"/>
      <c r="D172" s="115"/>
      <c r="E172" s="115"/>
      <c r="F172" s="4"/>
    </row>
    <row r="173" spans="2:8" x14ac:dyDescent="0.25">
      <c r="B173" s="115"/>
      <c r="C173" s="115"/>
      <c r="D173" s="115"/>
      <c r="E173" s="115"/>
      <c r="F173" s="4"/>
    </row>
    <row r="174" spans="2:8" x14ac:dyDescent="0.25">
      <c r="B174" s="120"/>
      <c r="C174" s="120"/>
      <c r="D174" s="121"/>
      <c r="E174" s="121"/>
      <c r="F174" s="121"/>
    </row>
    <row r="175" spans="2:8" x14ac:dyDescent="0.25">
      <c r="B175" s="120" t="s">
        <v>247</v>
      </c>
      <c r="C175" s="120"/>
      <c r="D175" s="121" t="s">
        <v>248</v>
      </c>
      <c r="E175" s="121"/>
      <c r="F175" s="121"/>
    </row>
  </sheetData>
  <mergeCells count="183">
    <mergeCell ref="B73:C73"/>
    <mergeCell ref="B74:C74"/>
    <mergeCell ref="B166:D166"/>
    <mergeCell ref="B160:C160"/>
    <mergeCell ref="B154:C154"/>
    <mergeCell ref="B146:D146"/>
    <mergeCell ref="B103:C103"/>
    <mergeCell ref="B104:C104"/>
    <mergeCell ref="B106:C106"/>
    <mergeCell ref="B107:C107"/>
    <mergeCell ref="B109:F109"/>
    <mergeCell ref="C110:D110"/>
    <mergeCell ref="E110:E111"/>
    <mergeCell ref="F110:F111"/>
    <mergeCell ref="B97:C97"/>
    <mergeCell ref="B98:C98"/>
    <mergeCell ref="B99:C99"/>
    <mergeCell ref="B100:C100"/>
    <mergeCell ref="E166:F166"/>
    <mergeCell ref="E160:F160"/>
    <mergeCell ref="B161:D161"/>
    <mergeCell ref="E161:F161"/>
    <mergeCell ref="B162:D162"/>
    <mergeCell ref="E162:F162"/>
    <mergeCell ref="B167:D167"/>
    <mergeCell ref="E167:F167"/>
    <mergeCell ref="B169:E169"/>
    <mergeCell ref="B170:B171"/>
    <mergeCell ref="C170:C171"/>
    <mergeCell ref="D170:E170"/>
    <mergeCell ref="B163:D163"/>
    <mergeCell ref="E163:F163"/>
    <mergeCell ref="B164:D164"/>
    <mergeCell ref="E164:F164"/>
    <mergeCell ref="B165:D165"/>
    <mergeCell ref="E165:F165"/>
    <mergeCell ref="B157:C157"/>
    <mergeCell ref="E157:F157"/>
    <mergeCell ref="B158:C158"/>
    <mergeCell ref="E158:F158"/>
    <mergeCell ref="B159:C159"/>
    <mergeCell ref="E159:F159"/>
    <mergeCell ref="E154:F154"/>
    <mergeCell ref="B155:C155"/>
    <mergeCell ref="E155:F155"/>
    <mergeCell ref="B156:C156"/>
    <mergeCell ref="E156:F156"/>
    <mergeCell ref="B149:D149"/>
    <mergeCell ref="E149:F149"/>
    <mergeCell ref="B151:D151"/>
    <mergeCell ref="E151:F151"/>
    <mergeCell ref="B153:C153"/>
    <mergeCell ref="E153:F153"/>
    <mergeCell ref="E146:F146"/>
    <mergeCell ref="B147:D147"/>
    <mergeCell ref="E147:F147"/>
    <mergeCell ref="B148:D148"/>
    <mergeCell ref="E148:F148"/>
    <mergeCell ref="G110:G111"/>
    <mergeCell ref="H110:H111"/>
    <mergeCell ref="B143:D143"/>
    <mergeCell ref="E143:F143"/>
    <mergeCell ref="B145:D145"/>
    <mergeCell ref="E145:F145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B110:B111"/>
    <mergeCell ref="C134:D134"/>
    <mergeCell ref="C135:D135"/>
    <mergeCell ref="C136:D136"/>
    <mergeCell ref="B101:C101"/>
    <mergeCell ref="B102:C102"/>
    <mergeCell ref="B95:G95"/>
    <mergeCell ref="B96:C96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50:C50"/>
    <mergeCell ref="B51:C51"/>
    <mergeCell ref="B52:C52"/>
    <mergeCell ref="B53:C53"/>
    <mergeCell ref="B54:C54"/>
    <mergeCell ref="B75:C7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20:C21"/>
    <mergeCell ref="D20:D21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1" max="7" man="1"/>
    <brk id="12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7"/>
  <sheetViews>
    <sheetView view="pageBreakPreview" topLeftCell="A11" zoomScale="70" zoomScaleSheetLayoutView="70" workbookViewId="0">
      <selection activeCell="E26" sqref="E26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6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192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193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14469.9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14282.2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187.7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14469.9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170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313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21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779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136736.21</v>
      </c>
      <c r="E22" s="7">
        <v>136736.21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5631765.3800000008</v>
      </c>
      <c r="E23" s="45">
        <f>E38+D99+C143</f>
        <v>2464941.1000000006</v>
      </c>
      <c r="F23" s="7">
        <f>D100+D101+D102+D103+D104+D105+D106+D107</f>
        <v>306631.67999999999</v>
      </c>
      <c r="G23" s="7">
        <f>F114+F115+F116+F117+F118+F119</f>
        <v>2860192.6000000006</v>
      </c>
      <c r="H23" s="2"/>
    </row>
    <row r="24" spans="1:8" x14ac:dyDescent="0.25">
      <c r="B24" s="223" t="s">
        <v>24</v>
      </c>
      <c r="C24" s="224"/>
      <c r="D24" s="43">
        <f>E24+F24+G24</f>
        <v>5123584.17</v>
      </c>
      <c r="E24" s="45">
        <f>F38+E99+D141+D142</f>
        <v>2411168.4300000002</v>
      </c>
      <c r="F24" s="7">
        <f>E100+E101+E103+E104+E107+E102+E105+E106</f>
        <v>321693.14</v>
      </c>
      <c r="G24" s="7">
        <f>G120</f>
        <v>2390722.6</v>
      </c>
      <c r="H24" s="2"/>
    </row>
    <row r="25" spans="1:8" x14ac:dyDescent="0.25">
      <c r="B25" s="223" t="s">
        <v>25</v>
      </c>
      <c r="C25" s="224"/>
      <c r="D25" s="7">
        <f>E25+F25+G25</f>
        <v>5210601.5500000007</v>
      </c>
      <c r="E25" s="7">
        <f>D143+2202563.2</f>
        <v>2498185.81</v>
      </c>
      <c r="F25" s="7">
        <f>F24</f>
        <v>321693.14</v>
      </c>
      <c r="G25" s="7">
        <f>G24</f>
        <v>2390722.6</v>
      </c>
      <c r="H25" s="2"/>
    </row>
    <row r="26" spans="1:8" x14ac:dyDescent="0.25">
      <c r="B26" s="223" t="s">
        <v>26</v>
      </c>
      <c r="C26" s="224"/>
      <c r="D26" s="7">
        <f>E26+F26+G26</f>
        <v>976347.13</v>
      </c>
      <c r="E26" s="45">
        <f>G38+G99+F143</f>
        <v>213285.71000000002</v>
      </c>
      <c r="F26" s="45">
        <f>G108-G99</f>
        <v>62226.46</v>
      </c>
      <c r="G26" s="45">
        <f>H120</f>
        <v>700834.96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263935.82</v>
      </c>
      <c r="F31" s="40">
        <v>261569.64</v>
      </c>
      <c r="G31" s="88">
        <v>16743.13</v>
      </c>
      <c r="H31" s="5"/>
    </row>
    <row r="32" spans="1:8" x14ac:dyDescent="0.25">
      <c r="B32" s="174" t="s">
        <v>34</v>
      </c>
      <c r="C32" s="212"/>
      <c r="D32" s="175"/>
      <c r="E32" s="88">
        <v>344223.68</v>
      </c>
      <c r="F32" s="40">
        <v>342641.84</v>
      </c>
      <c r="G32" s="88">
        <v>22842.02</v>
      </c>
      <c r="H32" s="5"/>
    </row>
    <row r="33" spans="2:8" x14ac:dyDescent="0.25">
      <c r="B33" s="174" t="s">
        <v>35</v>
      </c>
      <c r="C33" s="212"/>
      <c r="D33" s="175"/>
      <c r="E33" s="88">
        <v>212516.94</v>
      </c>
      <c r="F33" s="40">
        <v>210935.18</v>
      </c>
      <c r="G33" s="88">
        <v>14098.570000000003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503590.82</v>
      </c>
      <c r="F35" s="40">
        <v>499843.87</v>
      </c>
      <c r="G35" s="88">
        <v>33191.740000000005</v>
      </c>
      <c r="H35" s="5"/>
    </row>
    <row r="36" spans="2:8" x14ac:dyDescent="0.25">
      <c r="B36" s="174" t="s">
        <v>38</v>
      </c>
      <c r="C36" s="212"/>
      <c r="D36" s="175"/>
      <c r="E36" s="88">
        <v>354402.38</v>
      </c>
      <c r="F36" s="40">
        <f>348703.5+4305.34</f>
        <v>353008.84</v>
      </c>
      <c r="G36" s="88">
        <v>23131.629999999997</v>
      </c>
      <c r="H36" s="5"/>
    </row>
    <row r="37" spans="2:8" ht="30" customHeight="1" x14ac:dyDescent="0.25">
      <c r="B37" s="174" t="s">
        <v>39</v>
      </c>
      <c r="C37" s="212"/>
      <c r="D37" s="175"/>
      <c r="E37" s="106">
        <v>344313.24</v>
      </c>
      <c r="F37" s="88">
        <f>339270.86+3502.88</f>
        <v>342773.74</v>
      </c>
      <c r="G37" s="88">
        <v>23182.23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2022982.8800000001</v>
      </c>
      <c r="F38" s="41">
        <f>SUM(F31:F37)</f>
        <v>2010773.1099999999</v>
      </c>
      <c r="G38" s="41">
        <f>SUM(G31:G37)</f>
        <v>133189.32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820676.44</v>
      </c>
      <c r="G44" s="112"/>
      <c r="H44" s="123">
        <f>H45+H46+H47</f>
        <v>1004435.29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263935.82</v>
      </c>
      <c r="G45" s="112"/>
      <c r="H45" s="105">
        <f>380144.9-35232.23</f>
        <v>344912.67000000004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344223.68</v>
      </c>
      <c r="G46" s="112"/>
      <c r="H46" s="105">
        <f>464312.5-46201.7</f>
        <v>418110.8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212516.94</v>
      </c>
      <c r="G47" s="112"/>
      <c r="H47" s="105">
        <f>269751.7-28339.88</f>
        <v>241411.82</v>
      </c>
    </row>
    <row r="48" spans="2:8" hidden="1" x14ac:dyDescent="0.25">
      <c r="B48" s="174" t="s">
        <v>36</v>
      </c>
      <c r="C48" s="175"/>
      <c r="D48" s="88"/>
      <c r="E48" s="10"/>
      <c r="F48" s="105">
        <f>E34</f>
        <v>0</v>
      </c>
      <c r="G48" s="98"/>
      <c r="H48" s="105"/>
    </row>
    <row r="49" spans="2:8" x14ac:dyDescent="0.25">
      <c r="B49" s="202" t="s">
        <v>65</v>
      </c>
      <c r="C49" s="203"/>
      <c r="D49" s="88"/>
      <c r="E49" s="10"/>
      <c r="F49" s="99"/>
      <c r="G49" s="98"/>
      <c r="H49" s="99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396</v>
      </c>
      <c r="F51" s="151">
        <f>34788.89+4280+378+2600</f>
        <v>42046.89</v>
      </c>
      <c r="G51" s="150" t="s">
        <v>396</v>
      </c>
      <c r="H51" s="151">
        <f>34788.89+4280+378+2600</f>
        <v>42046.89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8707</v>
      </c>
      <c r="G52" s="149" t="s">
        <v>267</v>
      </c>
      <c r="H52" s="152">
        <v>9577.24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2980+13294.8</f>
        <v>16274.8</v>
      </c>
      <c r="G53" s="149" t="s">
        <v>267</v>
      </c>
      <c r="H53" s="152">
        <f>3300.05+12785.14</f>
        <v>16085.189999999999</v>
      </c>
    </row>
    <row r="54" spans="2:8" ht="16.5" customHeight="1" x14ac:dyDescent="0.25">
      <c r="B54" s="208" t="s">
        <v>397</v>
      </c>
      <c r="C54" s="209"/>
      <c r="D54" s="150" t="s">
        <v>272</v>
      </c>
      <c r="E54" s="150" t="s">
        <v>398</v>
      </c>
      <c r="F54" s="151">
        <v>1767</v>
      </c>
      <c r="G54" s="150" t="s">
        <v>398</v>
      </c>
      <c r="H54" s="151">
        <v>1767</v>
      </c>
    </row>
    <row r="55" spans="2:8" x14ac:dyDescent="0.25">
      <c r="B55" s="208" t="s">
        <v>273</v>
      </c>
      <c r="C55" s="209"/>
      <c r="D55" s="153"/>
      <c r="E55" s="108"/>
      <c r="F55" s="154"/>
      <c r="G55" s="108"/>
      <c r="H55" s="154"/>
    </row>
    <row r="56" spans="2:8" x14ac:dyDescent="0.25">
      <c r="B56" s="239" t="s">
        <v>274</v>
      </c>
      <c r="C56" s="240"/>
      <c r="D56" s="108" t="s">
        <v>272</v>
      </c>
      <c r="E56" s="155"/>
      <c r="F56" s="156"/>
      <c r="G56" s="155"/>
      <c r="H56" s="156"/>
    </row>
    <row r="57" spans="2:8" x14ac:dyDescent="0.25">
      <c r="B57" s="239" t="s">
        <v>276</v>
      </c>
      <c r="C57" s="240"/>
      <c r="D57" s="108" t="s">
        <v>272</v>
      </c>
      <c r="E57" s="108"/>
      <c r="F57" s="156"/>
      <c r="G57" s="155"/>
      <c r="H57" s="156"/>
    </row>
    <row r="58" spans="2:8" x14ac:dyDescent="0.25">
      <c r="B58" s="239" t="s">
        <v>277</v>
      </c>
      <c r="C58" s="240"/>
      <c r="D58" s="108" t="s">
        <v>272</v>
      </c>
      <c r="E58" s="108"/>
      <c r="F58" s="157"/>
      <c r="G58" s="155"/>
      <c r="H58" s="156"/>
    </row>
    <row r="59" spans="2:8" x14ac:dyDescent="0.25">
      <c r="B59" s="239" t="s">
        <v>278</v>
      </c>
      <c r="C59" s="240"/>
      <c r="D59" s="108" t="s">
        <v>272</v>
      </c>
      <c r="E59" s="150"/>
      <c r="F59" s="158"/>
      <c r="G59" s="159"/>
      <c r="H59" s="158"/>
    </row>
    <row r="60" spans="2:8" x14ac:dyDescent="0.25">
      <c r="B60" s="241" t="s">
        <v>279</v>
      </c>
      <c r="C60" s="242"/>
      <c r="D60" s="108" t="s">
        <v>272</v>
      </c>
      <c r="E60" s="150"/>
      <c r="F60" s="160"/>
      <c r="G60" s="159"/>
      <c r="H60" s="158"/>
    </row>
    <row r="61" spans="2:8" x14ac:dyDescent="0.25">
      <c r="B61" s="208" t="s">
        <v>69</v>
      </c>
      <c r="C61" s="209"/>
      <c r="D61" s="108" t="s">
        <v>272</v>
      </c>
      <c r="E61" s="161" t="s">
        <v>399</v>
      </c>
      <c r="F61" s="152">
        <v>44550</v>
      </c>
      <c r="G61" s="161" t="s">
        <v>399</v>
      </c>
      <c r="H61" s="152">
        <v>44550</v>
      </c>
    </row>
    <row r="62" spans="2:8" x14ac:dyDescent="0.25">
      <c r="B62" s="208" t="s">
        <v>280</v>
      </c>
      <c r="C62" s="209"/>
      <c r="D62" s="108" t="s">
        <v>272</v>
      </c>
      <c r="E62" s="108"/>
      <c r="F62" s="154"/>
      <c r="G62" s="108"/>
      <c r="H62" s="152"/>
    </row>
    <row r="63" spans="2:8" x14ac:dyDescent="0.25">
      <c r="B63" s="208" t="s">
        <v>281</v>
      </c>
      <c r="C63" s="209"/>
      <c r="D63" s="150"/>
      <c r="E63" s="150"/>
      <c r="F63" s="151"/>
      <c r="G63" s="150"/>
      <c r="H63" s="151"/>
    </row>
    <row r="64" spans="2:8" x14ac:dyDescent="0.25">
      <c r="B64" s="208" t="s">
        <v>282</v>
      </c>
      <c r="C64" s="209"/>
      <c r="D64" s="153"/>
      <c r="E64" s="108"/>
      <c r="F64" s="154"/>
      <c r="G64" s="108"/>
      <c r="H64" s="154"/>
    </row>
    <row r="65" spans="2:8" ht="44.25" customHeight="1" x14ac:dyDescent="0.25">
      <c r="B65" s="208" t="s">
        <v>400</v>
      </c>
      <c r="C65" s="209"/>
      <c r="D65" s="150"/>
      <c r="E65" s="150"/>
      <c r="F65" s="151">
        <v>1680</v>
      </c>
      <c r="G65" s="150"/>
      <c r="H65" s="151">
        <f>306.24+1680+4992+435.38</f>
        <v>7413.62</v>
      </c>
    </row>
    <row r="66" spans="2:8" x14ac:dyDescent="0.25">
      <c r="B66" s="243" t="s">
        <v>50</v>
      </c>
      <c r="C66" s="244"/>
      <c r="D66" s="108"/>
      <c r="E66" s="108"/>
      <c r="F66" s="162"/>
      <c r="G66" s="163"/>
      <c r="H66" s="162"/>
    </row>
    <row r="67" spans="2:8" ht="42" customHeight="1" x14ac:dyDescent="0.25">
      <c r="B67" s="208" t="s">
        <v>51</v>
      </c>
      <c r="C67" s="209"/>
      <c r="D67" s="153" t="s">
        <v>284</v>
      </c>
      <c r="E67" s="108"/>
      <c r="F67" s="154"/>
      <c r="G67" s="108" t="s">
        <v>271</v>
      </c>
      <c r="H67" s="154"/>
    </row>
    <row r="68" spans="2:8" ht="45" customHeight="1" x14ac:dyDescent="0.25">
      <c r="B68" s="208" t="s">
        <v>52</v>
      </c>
      <c r="C68" s="209"/>
      <c r="D68" s="108" t="s">
        <v>285</v>
      </c>
      <c r="E68" s="108"/>
      <c r="F68" s="154"/>
      <c r="G68" s="108" t="s">
        <v>271</v>
      </c>
      <c r="H68" s="154"/>
    </row>
    <row r="69" spans="2:8" ht="44.25" customHeight="1" x14ac:dyDescent="0.25">
      <c r="B69" s="208" t="s">
        <v>53</v>
      </c>
      <c r="C69" s="209"/>
      <c r="D69" s="108" t="s">
        <v>286</v>
      </c>
      <c r="E69" s="108"/>
      <c r="F69" s="154"/>
      <c r="G69" s="108" t="s">
        <v>271</v>
      </c>
      <c r="H69" s="154"/>
    </row>
    <row r="70" spans="2:8" ht="81.75" customHeight="1" x14ac:dyDescent="0.25">
      <c r="B70" s="208" t="s">
        <v>54</v>
      </c>
      <c r="C70" s="209"/>
      <c r="D70" s="150" t="s">
        <v>266</v>
      </c>
      <c r="E70" s="150" t="s">
        <v>271</v>
      </c>
      <c r="F70" s="151">
        <v>26011.56</v>
      </c>
      <c r="G70" s="150" t="s">
        <v>271</v>
      </c>
      <c r="H70" s="151">
        <v>25057.54</v>
      </c>
    </row>
    <row r="71" spans="2:8" x14ac:dyDescent="0.25">
      <c r="B71" s="208" t="s">
        <v>55</v>
      </c>
      <c r="C71" s="209"/>
      <c r="D71" s="108" t="s">
        <v>266</v>
      </c>
      <c r="E71" s="108" t="s">
        <v>401</v>
      </c>
      <c r="F71" s="152">
        <v>73920</v>
      </c>
      <c r="G71" s="108" t="s">
        <v>402</v>
      </c>
      <c r="H71" s="152">
        <f>61144.91+56148.15</f>
        <v>117293.06</v>
      </c>
    </row>
    <row r="72" spans="2:8" x14ac:dyDescent="0.25">
      <c r="B72" s="208" t="s">
        <v>56</v>
      </c>
      <c r="C72" s="209"/>
      <c r="D72" s="108" t="s">
        <v>266</v>
      </c>
      <c r="E72" s="108" t="s">
        <v>271</v>
      </c>
      <c r="F72" s="152">
        <v>56832.92</v>
      </c>
      <c r="G72" s="108" t="s">
        <v>271</v>
      </c>
      <c r="H72" s="152">
        <v>56832.92</v>
      </c>
    </row>
    <row r="73" spans="2:8" x14ac:dyDescent="0.25">
      <c r="B73" s="208" t="s">
        <v>57</v>
      </c>
      <c r="C73" s="209"/>
      <c r="D73" s="108" t="s">
        <v>266</v>
      </c>
      <c r="E73" s="108"/>
      <c r="F73" s="154"/>
      <c r="G73" s="108" t="s">
        <v>271</v>
      </c>
      <c r="H73" s="154"/>
    </row>
    <row r="74" spans="2:8" x14ac:dyDescent="0.25">
      <c r="B74" s="208" t="s">
        <v>58</v>
      </c>
      <c r="C74" s="209"/>
      <c r="D74" s="108" t="s">
        <v>266</v>
      </c>
      <c r="E74" s="108"/>
      <c r="F74" s="164"/>
      <c r="G74" s="108" t="s">
        <v>271</v>
      </c>
      <c r="H74" s="164"/>
    </row>
    <row r="75" spans="2:8" x14ac:dyDescent="0.25">
      <c r="B75" s="208" t="s">
        <v>282</v>
      </c>
      <c r="C75" s="209"/>
      <c r="D75" s="108"/>
      <c r="E75" s="108"/>
      <c r="F75" s="154"/>
      <c r="G75" s="108"/>
      <c r="H75" s="154"/>
    </row>
    <row r="76" spans="2:8" x14ac:dyDescent="0.25">
      <c r="B76" s="243" t="s">
        <v>59</v>
      </c>
      <c r="C76" s="244"/>
      <c r="D76" s="108"/>
      <c r="E76" s="108"/>
      <c r="F76" s="162"/>
      <c r="G76" s="108"/>
      <c r="H76" s="162"/>
    </row>
    <row r="77" spans="2:8" ht="40.5" customHeight="1" x14ac:dyDescent="0.25">
      <c r="B77" s="208" t="s">
        <v>60</v>
      </c>
      <c r="C77" s="209"/>
      <c r="D77" s="108" t="s">
        <v>272</v>
      </c>
      <c r="E77" s="108"/>
      <c r="F77" s="154"/>
      <c r="G77" s="108" t="s">
        <v>271</v>
      </c>
      <c r="H77" s="154"/>
    </row>
    <row r="78" spans="2:8" ht="40.5" customHeight="1" x14ac:dyDescent="0.25">
      <c r="B78" s="208" t="s">
        <v>61</v>
      </c>
      <c r="C78" s="209"/>
      <c r="D78" s="108" t="s">
        <v>270</v>
      </c>
      <c r="E78" s="108"/>
      <c r="F78" s="154"/>
      <c r="G78" s="108" t="s">
        <v>271</v>
      </c>
      <c r="H78" s="154"/>
    </row>
    <row r="79" spans="2:8" ht="72.75" customHeight="1" x14ac:dyDescent="0.25">
      <c r="B79" s="208" t="s">
        <v>62</v>
      </c>
      <c r="C79" s="209"/>
      <c r="D79" s="150" t="s">
        <v>266</v>
      </c>
      <c r="E79" s="150" t="s">
        <v>271</v>
      </c>
      <c r="F79" s="151">
        <f>27850.76+19653.18+13662.64</f>
        <v>61166.58</v>
      </c>
      <c r="G79" s="150" t="s">
        <v>271</v>
      </c>
      <c r="H79" s="151">
        <f>28113.5+19679.45+13775.62</f>
        <v>61568.57</v>
      </c>
    </row>
    <row r="80" spans="2:8" ht="18" customHeight="1" x14ac:dyDescent="0.25">
      <c r="B80" s="208" t="s">
        <v>290</v>
      </c>
      <c r="C80" s="209"/>
      <c r="D80" s="108" t="s">
        <v>291</v>
      </c>
      <c r="E80" s="161" t="s">
        <v>403</v>
      </c>
      <c r="F80" s="152">
        <f>9058.4+80080+25853.91+3238</f>
        <v>118230.31</v>
      </c>
      <c r="G80" s="108" t="s">
        <v>404</v>
      </c>
      <c r="H80" s="152">
        <f>717.57+27013.15+9058.4+45899.84+12806.13+2397.98</f>
        <v>97893.069999999992</v>
      </c>
    </row>
    <row r="81" spans="2:11" ht="16.5" customHeight="1" x14ac:dyDescent="0.25">
      <c r="B81" s="208" t="s">
        <v>282</v>
      </c>
      <c r="C81" s="209"/>
      <c r="D81" s="108"/>
      <c r="E81" s="108"/>
      <c r="F81" s="154"/>
      <c r="G81" s="108"/>
      <c r="H81" s="152"/>
    </row>
    <row r="82" spans="2:11" ht="22.5" customHeight="1" x14ac:dyDescent="0.25">
      <c r="B82" s="243" t="s">
        <v>63</v>
      </c>
      <c r="C82" s="244"/>
      <c r="D82" s="153"/>
      <c r="E82" s="108" t="s">
        <v>271</v>
      </c>
      <c r="F82" s="152">
        <v>51435.42</v>
      </c>
      <c r="G82" s="108" t="s">
        <v>271</v>
      </c>
      <c r="H82" s="152">
        <v>51435.42</v>
      </c>
    </row>
    <row r="83" spans="2:11" x14ac:dyDescent="0.25">
      <c r="B83" s="243" t="s">
        <v>64</v>
      </c>
      <c r="C83" s="244"/>
      <c r="D83" s="108"/>
      <c r="E83" s="108" t="s">
        <v>271</v>
      </c>
      <c r="F83" s="152">
        <v>43615.34</v>
      </c>
      <c r="G83" s="108" t="s">
        <v>271</v>
      </c>
      <c r="H83" s="152">
        <v>42650.13</v>
      </c>
    </row>
    <row r="84" spans="2:11" x14ac:dyDescent="0.25">
      <c r="B84" s="243" t="s">
        <v>294</v>
      </c>
      <c r="C84" s="244"/>
      <c r="D84" s="108"/>
      <c r="E84" s="108"/>
      <c r="F84" s="162"/>
      <c r="G84" s="163"/>
      <c r="H84" s="162"/>
    </row>
    <row r="85" spans="2:11" x14ac:dyDescent="0.25">
      <c r="B85" s="208" t="s">
        <v>295</v>
      </c>
      <c r="C85" s="209"/>
      <c r="D85" s="153" t="s">
        <v>296</v>
      </c>
      <c r="E85" s="108"/>
      <c r="F85" s="152"/>
      <c r="G85" s="108"/>
      <c r="H85" s="152"/>
    </row>
    <row r="86" spans="2:11" x14ac:dyDescent="0.25">
      <c r="B86" s="208" t="s">
        <v>71</v>
      </c>
      <c r="C86" s="209"/>
      <c r="D86" s="153" t="s">
        <v>297</v>
      </c>
      <c r="E86" s="108" t="s">
        <v>298</v>
      </c>
      <c r="F86" s="152">
        <v>2820</v>
      </c>
      <c r="G86" s="108" t="s">
        <v>298</v>
      </c>
      <c r="H86" s="152">
        <v>2683.68</v>
      </c>
      <c r="K86" s="5"/>
    </row>
    <row r="87" spans="2:11" x14ac:dyDescent="0.25">
      <c r="B87" s="208" t="s">
        <v>72</v>
      </c>
      <c r="C87" s="209"/>
      <c r="D87" s="108" t="s">
        <v>299</v>
      </c>
      <c r="E87" s="108" t="s">
        <v>405</v>
      </c>
      <c r="F87" s="152">
        <v>6175.54</v>
      </c>
      <c r="G87" s="108" t="s">
        <v>405</v>
      </c>
      <c r="H87" s="152">
        <v>6175.54</v>
      </c>
    </row>
    <row r="88" spans="2:11" x14ac:dyDescent="0.25">
      <c r="B88" s="208" t="s">
        <v>301</v>
      </c>
      <c r="C88" s="209"/>
      <c r="D88" s="108" t="s">
        <v>291</v>
      </c>
      <c r="E88" s="108" t="s">
        <v>271</v>
      </c>
      <c r="F88" s="152">
        <v>48581.19</v>
      </c>
      <c r="G88" s="108" t="s">
        <v>271</v>
      </c>
      <c r="H88" s="161">
        <v>48581.19</v>
      </c>
    </row>
    <row r="89" spans="2:11" ht="19.5" customHeight="1" x14ac:dyDescent="0.25">
      <c r="B89" s="208" t="s">
        <v>282</v>
      </c>
      <c r="C89" s="209"/>
      <c r="D89" s="108"/>
      <c r="E89" s="108"/>
      <c r="F89" s="154"/>
      <c r="G89" s="108"/>
      <c r="H89" s="154"/>
    </row>
    <row r="90" spans="2:11" ht="18.75" customHeight="1" x14ac:dyDescent="0.25">
      <c r="B90" s="208" t="s">
        <v>406</v>
      </c>
      <c r="C90" s="209"/>
      <c r="D90" s="108" t="s">
        <v>407</v>
      </c>
      <c r="E90" s="108" t="s">
        <v>408</v>
      </c>
      <c r="F90" s="152">
        <v>117549.99</v>
      </c>
      <c r="G90" s="108" t="s">
        <v>408</v>
      </c>
      <c r="H90" s="152">
        <v>117549.99</v>
      </c>
    </row>
    <row r="91" spans="2:11" ht="15.75" customHeight="1" x14ac:dyDescent="0.25">
      <c r="B91" s="208" t="s">
        <v>302</v>
      </c>
      <c r="C91" s="209"/>
      <c r="D91" s="108" t="s">
        <v>291</v>
      </c>
      <c r="E91" s="108" t="s">
        <v>409</v>
      </c>
      <c r="F91" s="152">
        <v>21544.93</v>
      </c>
      <c r="G91" s="108" t="s">
        <v>409</v>
      </c>
      <c r="H91" s="152">
        <v>17723.78</v>
      </c>
    </row>
    <row r="92" spans="2:11" x14ac:dyDescent="0.25">
      <c r="B92" s="208" t="s">
        <v>311</v>
      </c>
      <c r="C92" s="209"/>
      <c r="D92" s="108"/>
      <c r="E92" s="108" t="s">
        <v>395</v>
      </c>
      <c r="F92" s="152">
        <v>5400</v>
      </c>
      <c r="G92" s="108" t="s">
        <v>395</v>
      </c>
      <c r="H92" s="152">
        <v>5400</v>
      </c>
    </row>
    <row r="93" spans="2:11" x14ac:dyDescent="0.25">
      <c r="B93" s="208" t="s">
        <v>370</v>
      </c>
      <c r="C93" s="209"/>
      <c r="D93" s="108"/>
      <c r="E93" s="108" t="s">
        <v>410</v>
      </c>
      <c r="F93" s="152">
        <v>7920</v>
      </c>
      <c r="G93" s="108" t="s">
        <v>410</v>
      </c>
      <c r="H93" s="152">
        <v>7920</v>
      </c>
    </row>
    <row r="94" spans="2:11" ht="36.75" customHeight="1" x14ac:dyDescent="0.25">
      <c r="B94" s="208" t="s">
        <v>320</v>
      </c>
      <c r="C94" s="209"/>
      <c r="D94" s="108"/>
      <c r="E94" s="108"/>
      <c r="F94" s="152">
        <v>274615.57</v>
      </c>
      <c r="G94" s="108"/>
      <c r="H94" s="152">
        <v>274615.57</v>
      </c>
    </row>
    <row r="95" spans="2:11" x14ac:dyDescent="0.25">
      <c r="B95" s="206" t="s">
        <v>73</v>
      </c>
      <c r="C95" s="207"/>
      <c r="D95" s="108"/>
      <c r="E95" s="108"/>
      <c r="F95" s="165">
        <v>2045100</v>
      </c>
      <c r="G95" s="165"/>
      <c r="H95" s="165">
        <f>2202563.2-175506.9</f>
        <v>2027056.3000000003</v>
      </c>
    </row>
    <row r="96" spans="2:11" x14ac:dyDescent="0.25">
      <c r="B96" s="9"/>
      <c r="C96" s="9"/>
      <c r="D96" s="5"/>
      <c r="E96" s="5"/>
      <c r="F96" s="15"/>
      <c r="G96" s="5"/>
      <c r="H96" s="15"/>
    </row>
    <row r="97" spans="2:8" x14ac:dyDescent="0.25">
      <c r="B97" s="201" t="s">
        <v>177</v>
      </c>
      <c r="C97" s="201"/>
      <c r="D97" s="201"/>
      <c r="E97" s="201"/>
      <c r="F97" s="201"/>
      <c r="G97" s="201"/>
    </row>
    <row r="98" spans="2:8" ht="63" customHeight="1" x14ac:dyDescent="0.25">
      <c r="B98" s="194" t="s">
        <v>29</v>
      </c>
      <c r="C98" s="194"/>
      <c r="D98" s="91" t="s">
        <v>30</v>
      </c>
      <c r="E98" s="91" t="s">
        <v>31</v>
      </c>
      <c r="F98" s="89" t="s">
        <v>82</v>
      </c>
      <c r="G98" s="89" t="s">
        <v>32</v>
      </c>
    </row>
    <row r="99" spans="2:8" x14ac:dyDescent="0.25">
      <c r="B99" s="181" t="s">
        <v>83</v>
      </c>
      <c r="C99" s="183"/>
      <c r="D99" s="88">
        <v>148751.44</v>
      </c>
      <c r="E99" s="88">
        <v>104772.71</v>
      </c>
      <c r="F99" s="88">
        <f>E99</f>
        <v>104772.71</v>
      </c>
      <c r="G99" s="85">
        <v>26895.82</v>
      </c>
    </row>
    <row r="100" spans="2:8" x14ac:dyDescent="0.25">
      <c r="B100" s="181" t="s">
        <v>84</v>
      </c>
      <c r="C100" s="183"/>
      <c r="D100" s="88">
        <f>81005.42-491.18+21939.63-133.92+25046.69-149.44+42794.28</f>
        <v>170011.48</v>
      </c>
      <c r="E100" s="88">
        <f>81974.09+22246.32+24589.24+42403.96</f>
        <v>171213.61000000002</v>
      </c>
      <c r="F100" s="98">
        <f t="shared" ref="F100:F107" si="0">E100</f>
        <v>171213.61000000002</v>
      </c>
      <c r="G100" s="85">
        <f>31035.66+3524.04</f>
        <v>34559.699999999997</v>
      </c>
    </row>
    <row r="101" spans="2:8" ht="30" customHeight="1" x14ac:dyDescent="0.25">
      <c r="B101" s="174" t="s">
        <v>85</v>
      </c>
      <c r="C101" s="175"/>
      <c r="D101" s="88">
        <v>52091.72</v>
      </c>
      <c r="E101" s="88">
        <v>52978.42</v>
      </c>
      <c r="F101" s="98">
        <f t="shared" si="0"/>
        <v>52978.42</v>
      </c>
      <c r="G101" s="85">
        <v>9718.73</v>
      </c>
    </row>
    <row r="102" spans="2:8" ht="30" customHeight="1" x14ac:dyDescent="0.25">
      <c r="B102" s="174" t="s">
        <v>86</v>
      </c>
      <c r="C102" s="175"/>
      <c r="D102" s="88">
        <v>13312.84</v>
      </c>
      <c r="E102" s="88">
        <v>13516.9</v>
      </c>
      <c r="F102" s="98">
        <f t="shared" si="0"/>
        <v>13516.9</v>
      </c>
      <c r="G102" s="85">
        <v>2411.8999999999996</v>
      </c>
    </row>
    <row r="103" spans="2:8" x14ac:dyDescent="0.25">
      <c r="B103" s="174" t="s">
        <v>87</v>
      </c>
      <c r="C103" s="175"/>
      <c r="D103" s="88"/>
      <c r="E103" s="88"/>
      <c r="F103" s="98">
        <f t="shared" si="0"/>
        <v>0</v>
      </c>
      <c r="G103" s="85">
        <v>0</v>
      </c>
    </row>
    <row r="104" spans="2:8" x14ac:dyDescent="0.25">
      <c r="B104" s="174" t="s">
        <v>88</v>
      </c>
      <c r="C104" s="175"/>
      <c r="D104" s="88">
        <v>9260.68</v>
      </c>
      <c r="E104" s="88">
        <v>9430.2000000000007</v>
      </c>
      <c r="F104" s="98">
        <f t="shared" si="0"/>
        <v>9430.2000000000007</v>
      </c>
      <c r="G104" s="85">
        <v>1782.17</v>
      </c>
    </row>
    <row r="105" spans="2:8" x14ac:dyDescent="0.25">
      <c r="B105" s="174" t="s">
        <v>150</v>
      </c>
      <c r="C105" s="175"/>
      <c r="D105" s="88">
        <f>42210+70</f>
        <v>42280</v>
      </c>
      <c r="E105" s="88">
        <f>43139.35+208.57</f>
        <v>43347.92</v>
      </c>
      <c r="F105" s="98">
        <f t="shared" si="0"/>
        <v>43347.92</v>
      </c>
      <c r="G105" s="85">
        <v>7363.6100000000006</v>
      </c>
    </row>
    <row r="106" spans="2:8" x14ac:dyDescent="0.25">
      <c r="B106" s="174" t="s">
        <v>89</v>
      </c>
      <c r="C106" s="175"/>
      <c r="D106" s="88">
        <v>19674.96</v>
      </c>
      <c r="E106" s="88">
        <v>19792.169999999998</v>
      </c>
      <c r="F106" s="98">
        <f t="shared" si="0"/>
        <v>19792.169999999998</v>
      </c>
      <c r="G106" s="85">
        <v>3552.99</v>
      </c>
    </row>
    <row r="107" spans="2:8" ht="30" x14ac:dyDescent="0.25">
      <c r="B107" s="86" t="s">
        <v>81</v>
      </c>
      <c r="C107" s="87"/>
      <c r="D107" s="88"/>
      <c r="E107" s="88">
        <f>11089.6+50.5+273.82</f>
        <v>11413.92</v>
      </c>
      <c r="F107" s="98">
        <f t="shared" si="0"/>
        <v>11413.92</v>
      </c>
      <c r="G107" s="85">
        <v>2837.3599999999997</v>
      </c>
    </row>
    <row r="108" spans="2:8" ht="18.75" customHeight="1" x14ac:dyDescent="0.25">
      <c r="B108" s="202" t="s">
        <v>90</v>
      </c>
      <c r="C108" s="203"/>
      <c r="D108" s="90">
        <f>SUM(D99:D107)</f>
        <v>455383.12000000005</v>
      </c>
      <c r="E108" s="90">
        <f>SUM(E99:E107)</f>
        <v>426465.85</v>
      </c>
      <c r="F108" s="88">
        <f>E108</f>
        <v>426465.85</v>
      </c>
      <c r="G108" s="90">
        <f>SUM(G99:G107)</f>
        <v>89122.28</v>
      </c>
    </row>
    <row r="109" spans="2:8" x14ac:dyDescent="0.25">
      <c r="B109" s="202" t="s">
        <v>91</v>
      </c>
      <c r="C109" s="203"/>
      <c r="D109" s="96">
        <f>D108+F120+E38+C143</f>
        <v>5631765.3800000008</v>
      </c>
      <c r="E109" s="96">
        <f>E108+G120+F38+D143</f>
        <v>5123584.1700000009</v>
      </c>
      <c r="F109" s="96">
        <f>E109</f>
        <v>5123584.1700000009</v>
      </c>
      <c r="G109" s="96">
        <f>G38+G108+H120+F143</f>
        <v>976347.12999999989</v>
      </c>
    </row>
    <row r="110" spans="2:8" x14ac:dyDescent="0.25">
      <c r="B110" s="16"/>
      <c r="C110" s="16"/>
      <c r="D110" s="16"/>
      <c r="E110" s="17"/>
      <c r="F110" s="17"/>
      <c r="G110" s="17"/>
      <c r="H110" s="17"/>
    </row>
    <row r="111" spans="2:8" x14ac:dyDescent="0.25">
      <c r="B111" s="204" t="s">
        <v>176</v>
      </c>
      <c r="C111" s="201"/>
      <c r="D111" s="201"/>
      <c r="E111" s="201"/>
      <c r="F111" s="201"/>
    </row>
    <row r="112" spans="2:8" ht="38.25" customHeight="1" x14ac:dyDescent="0.25">
      <c r="B112" s="194" t="s">
        <v>29</v>
      </c>
      <c r="C112" s="194" t="s">
        <v>93</v>
      </c>
      <c r="D112" s="194"/>
      <c r="E112" s="205" t="s">
        <v>94</v>
      </c>
      <c r="F112" s="194" t="s">
        <v>30</v>
      </c>
      <c r="G112" s="194" t="s">
        <v>31</v>
      </c>
      <c r="H112" s="195" t="s">
        <v>95</v>
      </c>
    </row>
    <row r="113" spans="2:8" ht="35.25" customHeight="1" x14ac:dyDescent="0.25">
      <c r="B113" s="194"/>
      <c r="C113" s="91" t="s">
        <v>96</v>
      </c>
      <c r="D113" s="19" t="s">
        <v>97</v>
      </c>
      <c r="E113" s="205"/>
      <c r="F113" s="194"/>
      <c r="G113" s="194"/>
      <c r="H113" s="195"/>
    </row>
    <row r="114" spans="2:8" x14ac:dyDescent="0.25">
      <c r="B114" s="10" t="s">
        <v>98</v>
      </c>
      <c r="C114" s="88">
        <v>1400.08</v>
      </c>
      <c r="D114" s="42">
        <v>1439.26</v>
      </c>
      <c r="E114" s="110">
        <v>814.96</v>
      </c>
      <c r="F114" s="88">
        <f>-7075.91+1173025.17+3502.1</f>
        <v>1169451.3600000001</v>
      </c>
      <c r="G114" s="88">
        <f>2883.97+679423.68</f>
        <v>682307.65</v>
      </c>
      <c r="H114" s="88">
        <v>172485.27999999997</v>
      </c>
    </row>
    <row r="115" spans="2:8" x14ac:dyDescent="0.25">
      <c r="B115" s="10" t="s">
        <v>147</v>
      </c>
      <c r="C115" s="88">
        <v>22.15</v>
      </c>
      <c r="D115" s="42">
        <v>26.44</v>
      </c>
      <c r="E115" s="110">
        <v>6010.86</v>
      </c>
      <c r="F115" s="88">
        <f>585997.38-6005.72+98540.22-519.21+22855.71-90.64+136071.6-1177.56</f>
        <v>835671.77999999991</v>
      </c>
      <c r="G115" s="88">
        <f>558112.27+113930.87+31260.03+124306.38</f>
        <v>827609.55</v>
      </c>
      <c r="H115" s="88">
        <v>264025.62</v>
      </c>
    </row>
    <row r="116" spans="2:8" x14ac:dyDescent="0.25">
      <c r="B116" s="10" t="s">
        <v>99</v>
      </c>
      <c r="C116" s="88">
        <v>18.43</v>
      </c>
      <c r="D116" s="42">
        <v>19.22</v>
      </c>
      <c r="E116" s="110">
        <v>8235</v>
      </c>
      <c r="F116" s="88">
        <f>14293.47+2493.47+143983.07-4321.3</f>
        <v>156448.71000000002</v>
      </c>
      <c r="G116" s="88">
        <f>19589.09+41.92+153012.97+1569.12</f>
        <v>174213.1</v>
      </c>
      <c r="H116" s="88">
        <v>64520.69</v>
      </c>
    </row>
    <row r="117" spans="2:8" x14ac:dyDescent="0.25">
      <c r="B117" s="10" t="s">
        <v>100</v>
      </c>
      <c r="C117" s="88">
        <v>12.31</v>
      </c>
      <c r="D117" s="42">
        <v>12.84</v>
      </c>
      <c r="E117" s="110">
        <v>13839.06</v>
      </c>
      <c r="F117" s="88">
        <f>162268.64-2534.93-911.49</f>
        <v>158822.22000000003</v>
      </c>
      <c r="G117" s="88">
        <f>165816.58+212.47</f>
        <v>166029.04999999999</v>
      </c>
      <c r="H117" s="88">
        <v>62289.81</v>
      </c>
    </row>
    <row r="118" spans="2:8" x14ac:dyDescent="0.25">
      <c r="B118" s="10" t="s">
        <v>101</v>
      </c>
      <c r="C118" s="88" t="s">
        <v>145</v>
      </c>
      <c r="D118" s="42" t="s">
        <v>146</v>
      </c>
      <c r="E118" s="110">
        <v>134313.16</v>
      </c>
      <c r="F118" s="88">
        <f>64592.92+3517.91+429730.27-9399.71</f>
        <v>488441.39</v>
      </c>
      <c r="G118" s="88">
        <f>69984.73+419095.26</f>
        <v>489079.99</v>
      </c>
      <c r="H118" s="88">
        <v>132147.05000000002</v>
      </c>
    </row>
    <row r="119" spans="2:8" x14ac:dyDescent="0.25">
      <c r="B119" s="10" t="s">
        <v>102</v>
      </c>
      <c r="C119" s="88">
        <v>2.2999999999999998</v>
      </c>
      <c r="D119" s="42">
        <v>2.39</v>
      </c>
      <c r="E119" s="110">
        <f t="shared" ref="E119" si="1">F119/D119</f>
        <v>21488.343096234308</v>
      </c>
      <c r="F119" s="88">
        <f>50790.11+567.03</f>
        <v>51357.14</v>
      </c>
      <c r="G119" s="88">
        <v>51483.26</v>
      </c>
      <c r="H119" s="88">
        <v>5366.5099999999993</v>
      </c>
    </row>
    <row r="120" spans="2:8" x14ac:dyDescent="0.25">
      <c r="B120" s="11" t="s">
        <v>103</v>
      </c>
      <c r="C120" s="90"/>
      <c r="D120" s="42"/>
      <c r="E120" s="4"/>
      <c r="F120" s="90">
        <f>SUM(F114:F119)</f>
        <v>2860192.6000000006</v>
      </c>
      <c r="G120" s="90">
        <f>SUM(G114:G119)</f>
        <v>2390722.6</v>
      </c>
      <c r="H120" s="90">
        <f>SUM(H114:H119)</f>
        <v>700834.96</v>
      </c>
    </row>
    <row r="121" spans="2:8" x14ac:dyDescent="0.25">
      <c r="B121" s="9"/>
      <c r="C121" s="138"/>
      <c r="D121" s="144"/>
      <c r="E121" s="121"/>
      <c r="F121" s="138"/>
      <c r="G121" s="138"/>
      <c r="H121" s="138"/>
    </row>
    <row r="122" spans="2:8" x14ac:dyDescent="0.25">
      <c r="B122" s="16"/>
      <c r="C122" s="16" t="s">
        <v>244</v>
      </c>
      <c r="D122" s="16"/>
      <c r="E122" s="17"/>
      <c r="F122" s="17"/>
      <c r="G122" s="17"/>
      <c r="H122" s="17"/>
    </row>
    <row r="123" spans="2:8" x14ac:dyDescent="0.25">
      <c r="B123" s="137" t="s">
        <v>228</v>
      </c>
      <c r="C123" s="137" t="s">
        <v>229</v>
      </c>
      <c r="D123" s="137"/>
      <c r="E123" s="131" t="s">
        <v>230</v>
      </c>
      <c r="F123" s="17"/>
      <c r="G123" s="17"/>
      <c r="H123" s="17"/>
    </row>
    <row r="124" spans="2:8" x14ac:dyDescent="0.25">
      <c r="B124" s="133" t="s">
        <v>231</v>
      </c>
      <c r="C124" s="199">
        <v>27</v>
      </c>
      <c r="D124" s="200"/>
      <c r="E124" s="105">
        <v>100</v>
      </c>
      <c r="F124" s="17"/>
      <c r="G124" s="17"/>
      <c r="H124" s="17"/>
    </row>
    <row r="125" spans="2:8" x14ac:dyDescent="0.25">
      <c r="B125" s="133" t="s">
        <v>232</v>
      </c>
      <c r="C125" s="199">
        <v>7</v>
      </c>
      <c r="D125" s="200"/>
      <c r="E125" s="105">
        <v>100</v>
      </c>
      <c r="F125" s="17"/>
      <c r="G125" s="17"/>
      <c r="H125" s="17"/>
    </row>
    <row r="126" spans="2:8" x14ac:dyDescent="0.25">
      <c r="B126" s="133" t="s">
        <v>233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234</v>
      </c>
      <c r="C127" s="199"/>
      <c r="D127" s="200"/>
      <c r="E127" s="105"/>
      <c r="F127" s="17"/>
      <c r="G127" s="17"/>
      <c r="H127" s="17"/>
    </row>
    <row r="128" spans="2:8" x14ac:dyDescent="0.25">
      <c r="B128" s="133" t="s">
        <v>235</v>
      </c>
      <c r="C128" s="199">
        <v>1</v>
      </c>
      <c r="D128" s="200"/>
      <c r="E128" s="105">
        <v>100</v>
      </c>
      <c r="F128" s="17"/>
      <c r="G128" s="17"/>
      <c r="H128" s="17"/>
    </row>
    <row r="129" spans="2:8" x14ac:dyDescent="0.25">
      <c r="B129" s="133" t="s">
        <v>236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70</v>
      </c>
      <c r="C130" s="199">
        <v>13</v>
      </c>
      <c r="D130" s="200"/>
      <c r="E130" s="105">
        <v>100</v>
      </c>
      <c r="F130" s="17"/>
      <c r="G130" s="17"/>
      <c r="H130" s="17"/>
    </row>
    <row r="131" spans="2:8" x14ac:dyDescent="0.25">
      <c r="B131" s="133" t="s">
        <v>237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238</v>
      </c>
      <c r="C132" s="199">
        <v>3</v>
      </c>
      <c r="D132" s="200"/>
      <c r="E132" s="105">
        <v>100</v>
      </c>
      <c r="F132" s="17"/>
      <c r="G132" s="17"/>
      <c r="H132" s="17"/>
    </row>
    <row r="133" spans="2:8" x14ac:dyDescent="0.25">
      <c r="B133" s="133" t="s">
        <v>239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240</v>
      </c>
      <c r="C134" s="199"/>
      <c r="D134" s="200"/>
      <c r="E134" s="105"/>
      <c r="F134" s="17"/>
      <c r="G134" s="17"/>
      <c r="H134" s="17"/>
    </row>
    <row r="135" spans="2:8" x14ac:dyDescent="0.25">
      <c r="B135" s="133" t="s">
        <v>241</v>
      </c>
      <c r="C135" s="199"/>
      <c r="D135" s="200"/>
      <c r="E135" s="105"/>
      <c r="F135" s="17"/>
      <c r="G135" s="17"/>
      <c r="H135" s="17"/>
    </row>
    <row r="136" spans="2:8" x14ac:dyDescent="0.25">
      <c r="B136" s="133" t="s">
        <v>242</v>
      </c>
      <c r="C136" s="199"/>
      <c r="D136" s="200"/>
      <c r="E136" s="105"/>
      <c r="F136" s="17"/>
      <c r="G136" s="17"/>
      <c r="H136" s="17"/>
    </row>
    <row r="137" spans="2:8" x14ac:dyDescent="0.25">
      <c r="B137" s="133" t="s">
        <v>243</v>
      </c>
      <c r="C137" s="199"/>
      <c r="D137" s="200"/>
      <c r="E137" s="105"/>
      <c r="F137" s="17"/>
      <c r="G137" s="17"/>
      <c r="H137" s="17"/>
    </row>
    <row r="138" spans="2:8" x14ac:dyDescent="0.25">
      <c r="B138" s="139" t="s">
        <v>103</v>
      </c>
      <c r="C138" s="245">
        <f>SUM(C124:C137)</f>
        <v>51</v>
      </c>
      <c r="D138" s="246"/>
      <c r="E138" s="123">
        <v>100</v>
      </c>
      <c r="F138" s="9"/>
      <c r="G138" s="9"/>
      <c r="H138" s="17"/>
    </row>
    <row r="139" spans="2:8" x14ac:dyDescent="0.25">
      <c r="B139" s="12"/>
      <c r="C139" s="12"/>
      <c r="D139" s="9"/>
      <c r="E139" s="9"/>
      <c r="F139" s="9"/>
      <c r="G139" s="9"/>
    </row>
    <row r="140" spans="2:8" ht="44.25" customHeight="1" x14ac:dyDescent="0.25">
      <c r="B140" s="33"/>
      <c r="C140" s="90" t="s">
        <v>30</v>
      </c>
      <c r="D140" s="90" t="s">
        <v>31</v>
      </c>
      <c r="E140" s="89" t="s">
        <v>104</v>
      </c>
      <c r="F140" s="89" t="s">
        <v>32</v>
      </c>
    </row>
    <row r="141" spans="2:8" x14ac:dyDescent="0.25">
      <c r="B141" s="32" t="s">
        <v>105</v>
      </c>
      <c r="C141" s="88">
        <f>274728+8310</f>
        <v>283038</v>
      </c>
      <c r="D141" s="88">
        <f>282785.83+628.87+49.73+112.98</f>
        <v>283577.40999999997</v>
      </c>
      <c r="E141" s="88"/>
      <c r="F141" s="85">
        <v>32609.570000000007</v>
      </c>
    </row>
    <row r="142" spans="2:8" x14ac:dyDescent="0.25">
      <c r="B142" s="32" t="s">
        <v>106</v>
      </c>
      <c r="C142" s="88">
        <f>12516.1-2347.32</f>
        <v>10168.780000000001</v>
      </c>
      <c r="D142" s="88">
        <f>0.25+12044.95</f>
        <v>12045.2</v>
      </c>
      <c r="E142" s="98"/>
      <c r="F142" s="85">
        <v>20591</v>
      </c>
    </row>
    <row r="143" spans="2:8" ht="28.5" x14ac:dyDescent="0.25">
      <c r="B143" s="33" t="s">
        <v>178</v>
      </c>
      <c r="C143" s="90">
        <f>SUM(C141:C142)</f>
        <v>293206.78000000003</v>
      </c>
      <c r="D143" s="90">
        <f>SUM(D141:D142)</f>
        <v>295622.61</v>
      </c>
      <c r="E143" s="90"/>
      <c r="F143" s="90">
        <f>SUM(F141:F142)</f>
        <v>53200.570000000007</v>
      </c>
    </row>
    <row r="145" spans="2:6" x14ac:dyDescent="0.25">
      <c r="B145" s="177" t="s">
        <v>108</v>
      </c>
      <c r="C145" s="178"/>
      <c r="D145" s="179"/>
      <c r="E145" s="196">
        <f>G109</f>
        <v>976347.12999999989</v>
      </c>
      <c r="F145" s="197"/>
    </row>
    <row r="147" spans="2:6" x14ac:dyDescent="0.25">
      <c r="B147" s="198" t="s">
        <v>109</v>
      </c>
      <c r="C147" s="198"/>
      <c r="D147" s="198"/>
      <c r="E147" s="193"/>
      <c r="F147" s="193"/>
    </row>
    <row r="148" spans="2:6" x14ac:dyDescent="0.25">
      <c r="B148" s="192" t="s">
        <v>110</v>
      </c>
      <c r="C148" s="192"/>
      <c r="D148" s="192"/>
      <c r="E148" s="193"/>
      <c r="F148" s="193"/>
    </row>
    <row r="149" spans="2:6" x14ac:dyDescent="0.25">
      <c r="B149" s="192" t="s">
        <v>111</v>
      </c>
      <c r="C149" s="192"/>
      <c r="D149" s="192"/>
      <c r="E149" s="193"/>
      <c r="F149" s="193"/>
    </row>
    <row r="150" spans="2:6" x14ac:dyDescent="0.25">
      <c r="B150" s="192" t="s">
        <v>112</v>
      </c>
      <c r="C150" s="192"/>
      <c r="D150" s="192"/>
      <c r="E150" s="193"/>
      <c r="F150" s="193"/>
    </row>
    <row r="151" spans="2:6" x14ac:dyDescent="0.25">
      <c r="B151" s="192" t="s">
        <v>113</v>
      </c>
      <c r="C151" s="192"/>
      <c r="D151" s="192"/>
      <c r="E151" s="193"/>
      <c r="F151" s="193"/>
    </row>
    <row r="153" spans="2:6" x14ac:dyDescent="0.25">
      <c r="B153" s="177" t="s">
        <v>114</v>
      </c>
      <c r="C153" s="178"/>
      <c r="D153" s="179"/>
      <c r="E153" s="193"/>
      <c r="F153" s="193"/>
    </row>
    <row r="155" spans="2:6" hidden="1" x14ac:dyDescent="0.25">
      <c r="B155" s="181" t="s">
        <v>123</v>
      </c>
      <c r="C155" s="183"/>
      <c r="D155" s="88" t="s">
        <v>124</v>
      </c>
      <c r="E155" s="176" t="s">
        <v>122</v>
      </c>
      <c r="F155" s="176"/>
    </row>
    <row r="156" spans="2:6" hidden="1" x14ac:dyDescent="0.25">
      <c r="B156" s="181" t="s">
        <v>125</v>
      </c>
      <c r="C156" s="183"/>
      <c r="D156" s="88" t="s">
        <v>126</v>
      </c>
      <c r="E156" s="176" t="s">
        <v>122</v>
      </c>
      <c r="F156" s="176"/>
    </row>
    <row r="157" spans="2:6" ht="30" hidden="1" customHeight="1" x14ac:dyDescent="0.25">
      <c r="B157" s="174" t="s">
        <v>127</v>
      </c>
      <c r="C157" s="175"/>
      <c r="D157" s="88" t="s">
        <v>128</v>
      </c>
      <c r="E157" s="176" t="s">
        <v>122</v>
      </c>
      <c r="F157" s="176"/>
    </row>
    <row r="158" spans="2:6" ht="30" hidden="1" customHeight="1" x14ac:dyDescent="0.25">
      <c r="B158" s="174" t="s">
        <v>129</v>
      </c>
      <c r="C158" s="175"/>
      <c r="D158" s="88" t="s">
        <v>130</v>
      </c>
      <c r="E158" s="176"/>
      <c r="F158" s="176"/>
    </row>
    <row r="159" spans="2:6" ht="30" hidden="1" x14ac:dyDescent="0.25">
      <c r="B159" s="174" t="s">
        <v>131</v>
      </c>
      <c r="C159" s="175"/>
      <c r="D159" s="24" t="s">
        <v>132</v>
      </c>
      <c r="E159" s="176" t="s">
        <v>133</v>
      </c>
      <c r="F159" s="176"/>
    </row>
    <row r="160" spans="2:6" hidden="1" x14ac:dyDescent="0.25">
      <c r="B160" s="181" t="s">
        <v>134</v>
      </c>
      <c r="C160" s="183"/>
      <c r="D160" s="10" t="s">
        <v>135</v>
      </c>
      <c r="E160" s="176"/>
      <c r="F160" s="176"/>
    </row>
    <row r="161" spans="2:8" ht="30" hidden="1" customHeight="1" x14ac:dyDescent="0.25">
      <c r="B161" s="174" t="s">
        <v>136</v>
      </c>
      <c r="C161" s="175"/>
      <c r="D161" s="10" t="s">
        <v>137</v>
      </c>
      <c r="E161" s="176"/>
      <c r="F161" s="176"/>
    </row>
    <row r="162" spans="2:8" ht="30" hidden="1" customHeight="1" x14ac:dyDescent="0.25">
      <c r="B162" s="174" t="s">
        <v>138</v>
      </c>
      <c r="C162" s="175"/>
      <c r="D162" s="88" t="s">
        <v>139</v>
      </c>
      <c r="E162" s="176"/>
      <c r="F162" s="176"/>
    </row>
    <row r="163" spans="2:8" x14ac:dyDescent="0.25">
      <c r="B163" s="177" t="s">
        <v>74</v>
      </c>
      <c r="C163" s="178"/>
      <c r="D163" s="179"/>
      <c r="E163" s="180">
        <v>1200</v>
      </c>
      <c r="F163" s="180"/>
      <c r="G163" s="25"/>
      <c r="H163" s="25"/>
    </row>
    <row r="164" spans="2:8" x14ac:dyDescent="0.25">
      <c r="B164" s="181" t="s">
        <v>75</v>
      </c>
      <c r="C164" s="182"/>
      <c r="D164" s="183"/>
      <c r="E164" s="176"/>
      <c r="F164" s="176"/>
      <c r="G164" s="26"/>
      <c r="H164" s="26"/>
    </row>
    <row r="165" spans="2:8" x14ac:dyDescent="0.25">
      <c r="B165" s="181" t="s">
        <v>76</v>
      </c>
      <c r="C165" s="182"/>
      <c r="D165" s="183"/>
      <c r="E165" s="184"/>
      <c r="F165" s="184"/>
      <c r="G165" s="27"/>
      <c r="H165" s="27"/>
    </row>
    <row r="166" spans="2:8" x14ac:dyDescent="0.25">
      <c r="B166" s="181" t="s">
        <v>77</v>
      </c>
      <c r="C166" s="182"/>
      <c r="D166" s="183"/>
      <c r="E166" s="184"/>
      <c r="F166" s="184"/>
      <c r="G166" s="27"/>
      <c r="H166" s="27"/>
    </row>
    <row r="167" spans="2:8" x14ac:dyDescent="0.25">
      <c r="B167" s="177" t="s">
        <v>78</v>
      </c>
      <c r="C167" s="178"/>
      <c r="D167" s="179"/>
      <c r="E167" s="180"/>
      <c r="F167" s="180"/>
      <c r="G167" s="25"/>
      <c r="H167" s="25"/>
    </row>
    <row r="168" spans="2:8" x14ac:dyDescent="0.25">
      <c r="B168" s="181" t="s">
        <v>79</v>
      </c>
      <c r="C168" s="182"/>
      <c r="D168" s="183"/>
      <c r="E168" s="184">
        <v>5400</v>
      </c>
      <c r="F168" s="184"/>
      <c r="G168" s="27"/>
      <c r="H168" s="27"/>
    </row>
    <row r="169" spans="2:8" x14ac:dyDescent="0.25">
      <c r="B169" s="177" t="s">
        <v>80</v>
      </c>
      <c r="C169" s="178"/>
      <c r="D169" s="179"/>
      <c r="E169" s="184"/>
      <c r="F169" s="184"/>
      <c r="G169" s="27"/>
      <c r="H169" s="27"/>
    </row>
    <row r="170" spans="2:8" x14ac:dyDescent="0.25">
      <c r="B170" s="16"/>
      <c r="C170" s="16"/>
      <c r="D170" s="16"/>
      <c r="E170" s="17"/>
      <c r="F170" s="17"/>
      <c r="G170" s="17"/>
      <c r="H170" s="17"/>
    </row>
    <row r="171" spans="2:8" ht="36" customHeight="1" x14ac:dyDescent="0.25">
      <c r="B171" s="185" t="s">
        <v>115</v>
      </c>
      <c r="C171" s="186"/>
      <c r="D171" s="186"/>
      <c r="E171" s="186"/>
      <c r="F171" s="21" t="s">
        <v>116</v>
      </c>
    </row>
    <row r="172" spans="2:8" ht="14.45" customHeight="1" x14ac:dyDescent="0.25">
      <c r="B172" s="187" t="s">
        <v>117</v>
      </c>
      <c r="C172" s="188" t="s">
        <v>118</v>
      </c>
      <c r="D172" s="190" t="s">
        <v>119</v>
      </c>
      <c r="E172" s="191"/>
      <c r="F172" s="4"/>
    </row>
    <row r="173" spans="2:8" x14ac:dyDescent="0.25">
      <c r="B173" s="187"/>
      <c r="C173" s="189"/>
      <c r="D173" s="83" t="s">
        <v>120</v>
      </c>
      <c r="E173" s="83" t="s">
        <v>121</v>
      </c>
      <c r="F173" s="4"/>
    </row>
    <row r="174" spans="2:8" x14ac:dyDescent="0.25">
      <c r="B174" s="115"/>
      <c r="C174" s="124"/>
      <c r="D174" s="115"/>
      <c r="E174" s="115"/>
      <c r="F174" s="4"/>
    </row>
    <row r="175" spans="2:8" x14ac:dyDescent="0.25">
      <c r="B175" s="115"/>
      <c r="C175" s="115"/>
      <c r="D175" s="115"/>
      <c r="E175" s="115"/>
      <c r="F175" s="4"/>
    </row>
    <row r="176" spans="2:8" x14ac:dyDescent="0.25">
      <c r="B176" s="120"/>
      <c r="C176" s="120"/>
      <c r="D176" s="121"/>
      <c r="E176" s="121"/>
      <c r="F176" s="121"/>
    </row>
    <row r="177" spans="2:6" x14ac:dyDescent="0.25">
      <c r="B177" s="120" t="s">
        <v>247</v>
      </c>
      <c r="C177" s="120"/>
      <c r="D177" s="121" t="s">
        <v>248</v>
      </c>
      <c r="E177" s="121"/>
      <c r="F177" s="121"/>
    </row>
  </sheetData>
  <mergeCells count="185">
    <mergeCell ref="B68:C68"/>
    <mergeCell ref="B69:C69"/>
    <mergeCell ref="B168:D168"/>
    <mergeCell ref="E168:F168"/>
    <mergeCell ref="B169:D169"/>
    <mergeCell ref="E169:F169"/>
    <mergeCell ref="B171:E171"/>
    <mergeCell ref="B172:B173"/>
    <mergeCell ref="C172:C173"/>
    <mergeCell ref="D172:E172"/>
    <mergeCell ref="B165:D165"/>
    <mergeCell ref="E165:F165"/>
    <mergeCell ref="B166:D166"/>
    <mergeCell ref="E166:F166"/>
    <mergeCell ref="B167:D167"/>
    <mergeCell ref="E167:F167"/>
    <mergeCell ref="B162:C162"/>
    <mergeCell ref="E162:F162"/>
    <mergeCell ref="B163:D163"/>
    <mergeCell ref="E163:F163"/>
    <mergeCell ref="B164:D164"/>
    <mergeCell ref="E164:F164"/>
    <mergeCell ref="B159:C159"/>
    <mergeCell ref="E159:F159"/>
    <mergeCell ref="B160:C160"/>
    <mergeCell ref="E160:F160"/>
    <mergeCell ref="B161:C161"/>
    <mergeCell ref="E161:F161"/>
    <mergeCell ref="B156:C156"/>
    <mergeCell ref="E156:F156"/>
    <mergeCell ref="B157:C157"/>
    <mergeCell ref="E157:F157"/>
    <mergeCell ref="B158:C158"/>
    <mergeCell ref="E158:F158"/>
    <mergeCell ref="B151:D151"/>
    <mergeCell ref="E151:F151"/>
    <mergeCell ref="B153:D153"/>
    <mergeCell ref="E153:F153"/>
    <mergeCell ref="B155:C155"/>
    <mergeCell ref="E155:F155"/>
    <mergeCell ref="B148:D148"/>
    <mergeCell ref="E148:F148"/>
    <mergeCell ref="B149:D149"/>
    <mergeCell ref="E149:F149"/>
    <mergeCell ref="B150:D150"/>
    <mergeCell ref="E150:F150"/>
    <mergeCell ref="G112:G113"/>
    <mergeCell ref="H112:H113"/>
    <mergeCell ref="B145:D145"/>
    <mergeCell ref="E145:F145"/>
    <mergeCell ref="B147:D147"/>
    <mergeCell ref="E147:F147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B105:C105"/>
    <mergeCell ref="B106:C106"/>
    <mergeCell ref="B108:C108"/>
    <mergeCell ref="B109:C109"/>
    <mergeCell ref="B111:F111"/>
    <mergeCell ref="B112:B113"/>
    <mergeCell ref="C112:D112"/>
    <mergeCell ref="E112:E113"/>
    <mergeCell ref="F112:F113"/>
    <mergeCell ref="B99:C99"/>
    <mergeCell ref="B100:C100"/>
    <mergeCell ref="B101:C101"/>
    <mergeCell ref="B102:C102"/>
    <mergeCell ref="B103:C103"/>
    <mergeCell ref="B104:C104"/>
    <mergeCell ref="B97:G97"/>
    <mergeCell ref="B98:C98"/>
    <mergeCell ref="B94:C94"/>
    <mergeCell ref="B95:C9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20:C21"/>
    <mergeCell ref="D20:D21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2" max="7" man="1"/>
    <brk id="12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8"/>
  <sheetViews>
    <sheetView view="pageBreakPreview" topLeftCell="A15" zoomScale="70" zoomScaleSheetLayoutView="70" workbookViewId="0">
      <selection activeCell="E26" sqref="E26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5.285156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194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195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9762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9762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/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9762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170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209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14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590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222791.04000000001</v>
      </c>
      <c r="E22" s="7">
        <v>222791.04000000001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3774074.84</v>
      </c>
      <c r="E23" s="45">
        <f>E38+D100+C144</f>
        <v>1659802.46</v>
      </c>
      <c r="F23" s="7">
        <f>D101+D102+D103+D104+D105+D106+D107+D108</f>
        <v>217074.53</v>
      </c>
      <c r="G23" s="7">
        <f>F115+F116+F117+F118+F119+F120</f>
        <v>1897197.85</v>
      </c>
      <c r="H23" s="2"/>
    </row>
    <row r="24" spans="1:8" x14ac:dyDescent="0.25">
      <c r="B24" s="223" t="s">
        <v>24</v>
      </c>
      <c r="C24" s="224"/>
      <c r="D24" s="43">
        <f>E24+F24+G24</f>
        <v>3382771.84</v>
      </c>
      <c r="E24" s="45">
        <f>F38+E100+D142+D143</f>
        <v>1627586.46</v>
      </c>
      <c r="F24" s="7">
        <f>E101+E102+E104+E105+E108+E103+E106+E107</f>
        <v>221653.35</v>
      </c>
      <c r="G24" s="7">
        <f>G121</f>
        <v>1533532.03</v>
      </c>
      <c r="H24" s="2"/>
    </row>
    <row r="25" spans="1:8" x14ac:dyDescent="0.25">
      <c r="B25" s="223" t="s">
        <v>25</v>
      </c>
      <c r="C25" s="224"/>
      <c r="D25" s="7">
        <f>E25+F25+G25</f>
        <v>3442154.3500000006</v>
      </c>
      <c r="E25" s="7">
        <f>D144+1487037.81</f>
        <v>1686968.9700000002</v>
      </c>
      <c r="F25" s="7">
        <f>F24</f>
        <v>221653.35</v>
      </c>
      <c r="G25" s="7">
        <f>G24</f>
        <v>1533532.03</v>
      </c>
      <c r="H25" s="2"/>
    </row>
    <row r="26" spans="1:8" x14ac:dyDescent="0.25">
      <c r="B26" s="223" t="s">
        <v>252</v>
      </c>
      <c r="C26" s="224"/>
      <c r="D26" s="7">
        <f>E26+F26+G26</f>
        <v>1645060.4</v>
      </c>
      <c r="E26" s="45">
        <f>G38+G100+F144</f>
        <v>347592.02999999997</v>
      </c>
      <c r="F26" s="45">
        <f>G109-G100</f>
        <v>112529.56</v>
      </c>
      <c r="G26" s="45">
        <f>H121</f>
        <v>1184938.81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180405.06</v>
      </c>
      <c r="F31" s="40">
        <v>178213.42</v>
      </c>
      <c r="G31" s="88">
        <f>43950.52-15912.12</f>
        <v>28038.399999999994</v>
      </c>
      <c r="H31" s="5"/>
    </row>
    <row r="32" spans="1:8" x14ac:dyDescent="0.25">
      <c r="B32" s="174" t="s">
        <v>34</v>
      </c>
      <c r="C32" s="212"/>
      <c r="D32" s="175"/>
      <c r="E32" s="88">
        <v>222171.84</v>
      </c>
      <c r="F32" s="40">
        <v>221746.29</v>
      </c>
      <c r="G32" s="88">
        <f>56836.56-20695.45</f>
        <v>36141.11</v>
      </c>
      <c r="H32" s="5"/>
    </row>
    <row r="33" spans="2:8" x14ac:dyDescent="0.25">
      <c r="B33" s="174" t="s">
        <v>35</v>
      </c>
      <c r="C33" s="212"/>
      <c r="D33" s="175"/>
      <c r="E33" s="88">
        <v>145259.51999999999</v>
      </c>
      <c r="F33" s="40">
        <v>144172.12</v>
      </c>
      <c r="G33" s="88">
        <f>36357.65-12788.21</f>
        <v>23569.440000000002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342649.14</v>
      </c>
      <c r="F35" s="40">
        <v>340528.6</v>
      </c>
      <c r="G35" s="88">
        <f>84494.56-29774.59</f>
        <v>54719.97</v>
      </c>
      <c r="H35" s="5"/>
    </row>
    <row r="36" spans="2:8" x14ac:dyDescent="0.25">
      <c r="B36" s="174" t="s">
        <v>38</v>
      </c>
      <c r="C36" s="212"/>
      <c r="D36" s="175"/>
      <c r="E36" s="88">
        <v>240974.3</v>
      </c>
      <c r="F36" s="40">
        <f>232830.55+7182.58</f>
        <v>240013.12999999998</v>
      </c>
      <c r="G36" s="88">
        <f>43770.71+13522.26+6535.58-24990.61</f>
        <v>38837.94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234288</v>
      </c>
      <c r="F37" s="40">
        <f>227685.1+6016.13</f>
        <v>233701.23</v>
      </c>
      <c r="G37" s="88">
        <f>46783.47+12092.75-20109.61</f>
        <v>38766.61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1365747.86</v>
      </c>
      <c r="F38" s="41">
        <f>SUM(F31:F37)</f>
        <v>1358374.79</v>
      </c>
      <c r="G38" s="41">
        <f>SUM(G31:G37)</f>
        <v>220073.46999999997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547836.42000000004</v>
      </c>
      <c r="G44" s="123"/>
      <c r="H44" s="123">
        <f t="shared" ref="H44" si="0">H45+H46+H47</f>
        <v>690949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180405.06</v>
      </c>
      <c r="G45" s="112"/>
      <c r="H45" s="105">
        <f>219651-24151.21</f>
        <v>195499.79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222171.84</v>
      </c>
      <c r="G46" s="112"/>
      <c r="H46" s="105">
        <f>352283.5-31279.25</f>
        <v>321004.25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145259.51999999999</v>
      </c>
      <c r="G47" s="112"/>
      <c r="H47" s="105">
        <f>194010.6-19565.64</f>
        <v>174444.96000000002</v>
      </c>
    </row>
    <row r="48" spans="2:8" hidden="1" x14ac:dyDescent="0.25">
      <c r="B48" s="174" t="s">
        <v>36</v>
      </c>
      <c r="C48" s="175"/>
      <c r="D48" s="88"/>
      <c r="E48" s="10"/>
      <c r="F48" s="14"/>
      <c r="G48" s="10"/>
      <c r="H48" s="14"/>
    </row>
    <row r="49" spans="2:8" x14ac:dyDescent="0.25">
      <c r="B49" s="202" t="s">
        <v>65</v>
      </c>
      <c r="C49" s="203"/>
      <c r="D49" s="88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411</v>
      </c>
      <c r="F51" s="151">
        <f>23470.04+1300+1605</f>
        <v>26375.040000000001</v>
      </c>
      <c r="G51" s="150" t="s">
        <v>411</v>
      </c>
      <c r="H51" s="151">
        <f>23470.04+1300+1605</f>
        <v>26375.040000000001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6190</v>
      </c>
      <c r="G52" s="149" t="s">
        <v>267</v>
      </c>
      <c r="H52" s="152">
        <v>6461.21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2660+8969.23</f>
        <v>11629.23</v>
      </c>
      <c r="G53" s="149" t="s">
        <v>267</v>
      </c>
      <c r="H53" s="152">
        <f>2226.35+8625.39</f>
        <v>10851.74</v>
      </c>
    </row>
    <row r="54" spans="2:8" ht="16.5" customHeight="1" x14ac:dyDescent="0.25">
      <c r="B54" s="208" t="s">
        <v>397</v>
      </c>
      <c r="C54" s="209"/>
      <c r="D54" s="150" t="s">
        <v>272</v>
      </c>
      <c r="E54" s="150" t="s">
        <v>412</v>
      </c>
      <c r="F54" s="151">
        <v>2472</v>
      </c>
      <c r="G54" s="150" t="s">
        <v>412</v>
      </c>
      <c r="H54" s="151">
        <v>2472</v>
      </c>
    </row>
    <row r="55" spans="2:8" ht="16.5" customHeight="1" x14ac:dyDescent="0.25">
      <c r="B55" s="208" t="s">
        <v>273</v>
      </c>
      <c r="C55" s="209"/>
      <c r="D55" s="153"/>
      <c r="E55" s="108"/>
      <c r="F55" s="154"/>
      <c r="G55" s="108"/>
      <c r="H55" s="154"/>
    </row>
    <row r="56" spans="2:8" ht="16.5" customHeight="1" x14ac:dyDescent="0.25">
      <c r="B56" s="239" t="s">
        <v>274</v>
      </c>
      <c r="C56" s="240"/>
      <c r="D56" s="108" t="s">
        <v>272</v>
      </c>
      <c r="E56" s="155"/>
      <c r="F56" s="156"/>
      <c r="G56" s="155"/>
      <c r="H56" s="156"/>
    </row>
    <row r="57" spans="2:8" ht="16.5" customHeight="1" x14ac:dyDescent="0.25">
      <c r="B57" s="239" t="s">
        <v>413</v>
      </c>
      <c r="C57" s="240"/>
      <c r="D57" s="108" t="s">
        <v>272</v>
      </c>
      <c r="E57" s="108" t="s">
        <v>410</v>
      </c>
      <c r="F57" s="152">
        <v>40112.36</v>
      </c>
      <c r="G57" s="108" t="s">
        <v>410</v>
      </c>
      <c r="H57" s="152">
        <v>29000</v>
      </c>
    </row>
    <row r="58" spans="2:8" ht="16.5" customHeight="1" x14ac:dyDescent="0.25">
      <c r="B58" s="239" t="s">
        <v>414</v>
      </c>
      <c r="C58" s="240"/>
      <c r="D58" s="108" t="s">
        <v>272</v>
      </c>
      <c r="E58" s="108"/>
      <c r="F58" s="157"/>
      <c r="G58" s="155" t="s">
        <v>415</v>
      </c>
      <c r="H58" s="156">
        <v>7200</v>
      </c>
    </row>
    <row r="59" spans="2:8" ht="16.5" customHeight="1" x14ac:dyDescent="0.25">
      <c r="B59" s="239" t="s">
        <v>278</v>
      </c>
      <c r="C59" s="240"/>
      <c r="D59" s="108" t="s">
        <v>272</v>
      </c>
      <c r="E59" s="150"/>
      <c r="F59" s="158"/>
      <c r="G59" s="159"/>
      <c r="H59" s="158"/>
    </row>
    <row r="60" spans="2:8" ht="16.5" customHeight="1" x14ac:dyDescent="0.25">
      <c r="B60" s="241" t="s">
        <v>279</v>
      </c>
      <c r="C60" s="242"/>
      <c r="D60" s="108" t="s">
        <v>272</v>
      </c>
      <c r="E60" s="150"/>
      <c r="F60" s="160"/>
      <c r="G60" s="159"/>
      <c r="H60" s="158"/>
    </row>
    <row r="61" spans="2:8" ht="16.5" customHeight="1" x14ac:dyDescent="0.25">
      <c r="B61" s="208" t="s">
        <v>69</v>
      </c>
      <c r="C61" s="209"/>
      <c r="D61" s="108" t="s">
        <v>272</v>
      </c>
      <c r="E61" s="161"/>
      <c r="F61" s="152"/>
      <c r="G61" s="161"/>
      <c r="H61" s="152"/>
    </row>
    <row r="62" spans="2:8" ht="16.5" customHeight="1" x14ac:dyDescent="0.25">
      <c r="B62" s="208" t="s">
        <v>280</v>
      </c>
      <c r="C62" s="209"/>
      <c r="D62" s="108" t="s">
        <v>272</v>
      </c>
      <c r="E62" s="108"/>
      <c r="F62" s="154"/>
      <c r="G62" s="108"/>
      <c r="H62" s="152"/>
    </row>
    <row r="63" spans="2:8" ht="16.5" customHeight="1" x14ac:dyDescent="0.25">
      <c r="B63" s="208" t="s">
        <v>281</v>
      </c>
      <c r="C63" s="209"/>
      <c r="D63" s="150"/>
      <c r="E63" s="150"/>
      <c r="F63" s="151"/>
      <c r="G63" s="150"/>
      <c r="H63" s="151"/>
    </row>
    <row r="64" spans="2:8" ht="16.5" customHeight="1" x14ac:dyDescent="0.25">
      <c r="B64" s="208" t="s">
        <v>282</v>
      </c>
      <c r="C64" s="209"/>
      <c r="D64" s="153"/>
      <c r="E64" s="108"/>
      <c r="F64" s="154"/>
      <c r="G64" s="108"/>
      <c r="H64" s="154"/>
    </row>
    <row r="65" spans="2:8" ht="39" customHeight="1" x14ac:dyDescent="0.25">
      <c r="B65" s="208" t="s">
        <v>416</v>
      </c>
      <c r="C65" s="209"/>
      <c r="D65" s="150" t="s">
        <v>272</v>
      </c>
      <c r="E65" s="108"/>
      <c r="F65" s="154"/>
      <c r="G65" s="108"/>
      <c r="H65" s="151">
        <v>46725.11</v>
      </c>
    </row>
    <row r="66" spans="2:8" ht="16.5" customHeight="1" x14ac:dyDescent="0.25">
      <c r="B66" s="208" t="s">
        <v>417</v>
      </c>
      <c r="C66" s="209"/>
      <c r="D66" s="153"/>
      <c r="E66" s="108" t="s">
        <v>418</v>
      </c>
      <c r="F66" s="152">
        <v>1595</v>
      </c>
      <c r="G66" s="108"/>
      <c r="H66" s="152"/>
    </row>
    <row r="67" spans="2:8" ht="16.5" customHeight="1" x14ac:dyDescent="0.25">
      <c r="B67" s="208" t="s">
        <v>305</v>
      </c>
      <c r="C67" s="209"/>
      <c r="D67" s="150"/>
      <c r="E67" s="150"/>
      <c r="F67" s="151">
        <f>840</f>
        <v>840</v>
      </c>
      <c r="G67" s="150"/>
      <c r="H67" s="151">
        <f>840</f>
        <v>840</v>
      </c>
    </row>
    <row r="68" spans="2:8" ht="16.5" customHeight="1" x14ac:dyDescent="0.25">
      <c r="B68" s="243" t="s">
        <v>50</v>
      </c>
      <c r="C68" s="244"/>
      <c r="D68" s="108"/>
      <c r="E68" s="108"/>
      <c r="F68" s="162"/>
      <c r="G68" s="163"/>
      <c r="H68" s="162"/>
    </row>
    <row r="69" spans="2:8" ht="45.75" customHeight="1" x14ac:dyDescent="0.25">
      <c r="B69" s="208" t="s">
        <v>51</v>
      </c>
      <c r="C69" s="209"/>
      <c r="D69" s="153" t="s">
        <v>284</v>
      </c>
      <c r="E69" s="108"/>
      <c r="F69" s="154"/>
      <c r="G69" s="108" t="s">
        <v>271</v>
      </c>
      <c r="H69" s="154"/>
    </row>
    <row r="70" spans="2:8" ht="44.25" customHeight="1" x14ac:dyDescent="0.25">
      <c r="B70" s="208" t="s">
        <v>52</v>
      </c>
      <c r="C70" s="209"/>
      <c r="D70" s="108" t="s">
        <v>285</v>
      </c>
      <c r="E70" s="108"/>
      <c r="F70" s="154"/>
      <c r="G70" s="108" t="s">
        <v>271</v>
      </c>
      <c r="H70" s="154"/>
    </row>
    <row r="71" spans="2:8" ht="44.25" customHeight="1" x14ac:dyDescent="0.25">
      <c r="B71" s="208" t="s">
        <v>53</v>
      </c>
      <c r="C71" s="209"/>
      <c r="D71" s="108" t="s">
        <v>286</v>
      </c>
      <c r="E71" s="108"/>
      <c r="F71" s="154"/>
      <c r="G71" s="108" t="s">
        <v>271</v>
      </c>
      <c r="H71" s="154"/>
    </row>
    <row r="72" spans="2:8" ht="83.25" customHeight="1" x14ac:dyDescent="0.25">
      <c r="B72" s="208" t="s">
        <v>54</v>
      </c>
      <c r="C72" s="209"/>
      <c r="D72" s="150" t="s">
        <v>266</v>
      </c>
      <c r="E72" s="150" t="s">
        <v>271</v>
      </c>
      <c r="F72" s="151">
        <v>17548.490000000002</v>
      </c>
      <c r="G72" s="150" t="s">
        <v>271</v>
      </c>
      <c r="H72" s="151">
        <v>16904.86</v>
      </c>
    </row>
    <row r="73" spans="2:8" x14ac:dyDescent="0.25">
      <c r="B73" s="208" t="s">
        <v>55</v>
      </c>
      <c r="C73" s="209"/>
      <c r="D73" s="108" t="s">
        <v>266</v>
      </c>
      <c r="E73" s="108" t="s">
        <v>419</v>
      </c>
      <c r="F73" s="152">
        <f>27720</f>
        <v>27720</v>
      </c>
      <c r="G73" s="108"/>
      <c r="H73" s="152"/>
    </row>
    <row r="74" spans="2:8" x14ac:dyDescent="0.25">
      <c r="B74" s="208" t="s">
        <v>56</v>
      </c>
      <c r="C74" s="209"/>
      <c r="D74" s="108" t="s">
        <v>266</v>
      </c>
      <c r="E74" s="108" t="s">
        <v>271</v>
      </c>
      <c r="F74" s="152">
        <v>38341.870000000003</v>
      </c>
      <c r="G74" s="108" t="s">
        <v>271</v>
      </c>
      <c r="H74" s="152">
        <v>38341.870000000003</v>
      </c>
    </row>
    <row r="75" spans="2:8" x14ac:dyDescent="0.25">
      <c r="B75" s="208" t="s">
        <v>57</v>
      </c>
      <c r="C75" s="209"/>
      <c r="D75" s="108" t="s">
        <v>266</v>
      </c>
      <c r="E75" s="108"/>
      <c r="F75" s="154"/>
      <c r="G75" s="108" t="s">
        <v>271</v>
      </c>
      <c r="H75" s="154"/>
    </row>
    <row r="76" spans="2:8" x14ac:dyDescent="0.25">
      <c r="B76" s="208" t="s">
        <v>58</v>
      </c>
      <c r="C76" s="209"/>
      <c r="D76" s="108" t="s">
        <v>266</v>
      </c>
      <c r="E76" s="108"/>
      <c r="F76" s="164"/>
      <c r="G76" s="108" t="s">
        <v>271</v>
      </c>
      <c r="H76" s="164"/>
    </row>
    <row r="77" spans="2:8" x14ac:dyDescent="0.25">
      <c r="B77" s="208" t="s">
        <v>282</v>
      </c>
      <c r="C77" s="209"/>
      <c r="D77" s="108"/>
      <c r="E77" s="108"/>
      <c r="F77" s="154"/>
      <c r="G77" s="108"/>
      <c r="H77" s="154"/>
    </row>
    <row r="78" spans="2:8" x14ac:dyDescent="0.25">
      <c r="B78" s="243" t="s">
        <v>59</v>
      </c>
      <c r="C78" s="244"/>
      <c r="D78" s="108"/>
      <c r="E78" s="108"/>
      <c r="F78" s="162"/>
      <c r="G78" s="108"/>
      <c r="H78" s="162"/>
    </row>
    <row r="79" spans="2:8" ht="46.5" customHeight="1" x14ac:dyDescent="0.25">
      <c r="B79" s="208" t="s">
        <v>60</v>
      </c>
      <c r="C79" s="209"/>
      <c r="D79" s="108" t="s">
        <v>272</v>
      </c>
      <c r="E79" s="108"/>
      <c r="F79" s="154"/>
      <c r="G79" s="108" t="s">
        <v>271</v>
      </c>
      <c r="H79" s="154"/>
    </row>
    <row r="80" spans="2:8" ht="38.25" customHeight="1" x14ac:dyDescent="0.25">
      <c r="B80" s="208" t="s">
        <v>61</v>
      </c>
      <c r="C80" s="209"/>
      <c r="D80" s="108" t="s">
        <v>270</v>
      </c>
      <c r="E80" s="108"/>
      <c r="F80" s="154"/>
      <c r="G80" s="108" t="s">
        <v>271</v>
      </c>
      <c r="H80" s="154"/>
    </row>
    <row r="81" spans="2:11" ht="70.5" customHeight="1" x14ac:dyDescent="0.25">
      <c r="B81" s="208" t="s">
        <v>62</v>
      </c>
      <c r="C81" s="209"/>
      <c r="D81" s="150" t="s">
        <v>266</v>
      </c>
      <c r="E81" s="150" t="s">
        <v>271</v>
      </c>
      <c r="F81" s="151">
        <f>18789.29+13258.86+9217.39</f>
        <v>41265.54</v>
      </c>
      <c r="G81" s="150" t="s">
        <v>271</v>
      </c>
      <c r="H81" s="151">
        <f>18966.55+13276.58+9293.61</f>
        <v>41536.74</v>
      </c>
    </row>
    <row r="82" spans="2:11" x14ac:dyDescent="0.25">
      <c r="B82" s="208" t="s">
        <v>290</v>
      </c>
      <c r="C82" s="209"/>
      <c r="D82" s="108" t="s">
        <v>291</v>
      </c>
      <c r="E82" s="161" t="s">
        <v>420</v>
      </c>
      <c r="F82" s="152">
        <f>23305.48+26488+17442.13</f>
        <v>67235.61</v>
      </c>
      <c r="G82" s="108" t="s">
        <v>421</v>
      </c>
      <c r="H82" s="152">
        <f>909.63+23305.48+99176.72+43537.67+648.79+54600.03</f>
        <v>222178.32</v>
      </c>
    </row>
    <row r="83" spans="2:11" ht="22.5" customHeight="1" x14ac:dyDescent="0.25">
      <c r="B83" s="208" t="s">
        <v>282</v>
      </c>
      <c r="C83" s="209"/>
      <c r="D83" s="108"/>
      <c r="E83" s="108"/>
      <c r="F83" s="154"/>
      <c r="G83" s="108"/>
      <c r="H83" s="152"/>
    </row>
    <row r="84" spans="2:11" ht="21.75" customHeight="1" x14ac:dyDescent="0.25">
      <c r="B84" s="243" t="s">
        <v>63</v>
      </c>
      <c r="C84" s="244"/>
      <c r="D84" s="153"/>
      <c r="E84" s="108" t="s">
        <v>271</v>
      </c>
      <c r="F84" s="152">
        <v>34700.480000000003</v>
      </c>
      <c r="G84" s="108" t="s">
        <v>271</v>
      </c>
      <c r="H84" s="152">
        <v>34700.480000000003</v>
      </c>
    </row>
    <row r="85" spans="2:11" ht="21" customHeight="1" x14ac:dyDescent="0.25">
      <c r="B85" s="243" t="s">
        <v>64</v>
      </c>
      <c r="C85" s="244"/>
      <c r="D85" s="108"/>
      <c r="E85" s="108" t="s">
        <v>271</v>
      </c>
      <c r="F85" s="152">
        <v>29424.73</v>
      </c>
      <c r="G85" s="108" t="s">
        <v>271</v>
      </c>
      <c r="H85" s="152">
        <v>28773.56</v>
      </c>
    </row>
    <row r="86" spans="2:11" ht="24.75" customHeight="1" x14ac:dyDescent="0.25">
      <c r="B86" s="243" t="s">
        <v>294</v>
      </c>
      <c r="C86" s="244"/>
      <c r="D86" s="108"/>
      <c r="E86" s="108"/>
      <c r="F86" s="162"/>
      <c r="G86" s="163"/>
      <c r="H86" s="162"/>
    </row>
    <row r="87" spans="2:11" x14ac:dyDescent="0.25">
      <c r="B87" s="208" t="s">
        <v>295</v>
      </c>
      <c r="C87" s="209"/>
      <c r="D87" s="153" t="s">
        <v>296</v>
      </c>
      <c r="E87" s="108"/>
      <c r="F87" s="152">
        <v>5849.5</v>
      </c>
      <c r="G87" s="108"/>
      <c r="H87" s="152">
        <v>11078.87</v>
      </c>
    </row>
    <row r="88" spans="2:11" x14ac:dyDescent="0.25">
      <c r="B88" s="208" t="s">
        <v>71</v>
      </c>
      <c r="C88" s="209"/>
      <c r="D88" s="153" t="s">
        <v>297</v>
      </c>
      <c r="E88" s="108"/>
      <c r="F88" s="152"/>
      <c r="G88" s="108"/>
      <c r="H88" s="152"/>
    </row>
    <row r="89" spans="2:11" x14ac:dyDescent="0.25">
      <c r="B89" s="208" t="s">
        <v>364</v>
      </c>
      <c r="C89" s="209"/>
      <c r="D89" s="153"/>
      <c r="E89" s="108"/>
      <c r="F89" s="152"/>
      <c r="G89" s="108" t="s">
        <v>298</v>
      </c>
      <c r="H89" s="152">
        <v>2100</v>
      </c>
    </row>
    <row r="90" spans="2:11" x14ac:dyDescent="0.25">
      <c r="B90" s="208" t="s">
        <v>72</v>
      </c>
      <c r="C90" s="209"/>
      <c r="D90" s="108" t="s">
        <v>299</v>
      </c>
      <c r="E90" s="108" t="s">
        <v>422</v>
      </c>
      <c r="F90" s="152">
        <v>4166.28</v>
      </c>
      <c r="G90" s="108" t="s">
        <v>422</v>
      </c>
      <c r="H90" s="152">
        <v>4166.28</v>
      </c>
      <c r="K90" s="5"/>
    </row>
    <row r="91" spans="2:11" x14ac:dyDescent="0.25">
      <c r="B91" s="208" t="s">
        <v>301</v>
      </c>
      <c r="C91" s="209"/>
      <c r="D91" s="108" t="s">
        <v>291</v>
      </c>
      <c r="E91" s="108" t="s">
        <v>271</v>
      </c>
      <c r="F91" s="152">
        <v>32774.9</v>
      </c>
      <c r="G91" s="108" t="s">
        <v>271</v>
      </c>
      <c r="H91" s="161">
        <v>32774.9</v>
      </c>
    </row>
    <row r="92" spans="2:11" x14ac:dyDescent="0.25">
      <c r="B92" s="208" t="s">
        <v>282</v>
      </c>
      <c r="C92" s="209"/>
      <c r="D92" s="108"/>
      <c r="E92" s="108"/>
      <c r="F92" s="154"/>
      <c r="G92" s="108"/>
      <c r="H92" s="154"/>
    </row>
    <row r="93" spans="2:11" ht="22.5" customHeight="1" x14ac:dyDescent="0.25">
      <c r="B93" s="208" t="s">
        <v>302</v>
      </c>
      <c r="C93" s="209"/>
      <c r="D93" s="108" t="s">
        <v>291</v>
      </c>
      <c r="E93" s="108" t="s">
        <v>423</v>
      </c>
      <c r="F93" s="152">
        <v>14535.11</v>
      </c>
      <c r="G93" s="108" t="s">
        <v>423</v>
      </c>
      <c r="H93" s="152">
        <v>11957.21</v>
      </c>
    </row>
    <row r="94" spans="2:11" ht="22.5" customHeight="1" x14ac:dyDescent="0.25">
      <c r="B94" s="208" t="s">
        <v>311</v>
      </c>
      <c r="C94" s="209"/>
      <c r="D94" s="108"/>
      <c r="E94" s="108" t="s">
        <v>369</v>
      </c>
      <c r="F94" s="152">
        <v>6480</v>
      </c>
      <c r="G94" s="108" t="s">
        <v>369</v>
      </c>
      <c r="H94" s="152">
        <v>6480</v>
      </c>
    </row>
    <row r="95" spans="2:11" ht="45.75" customHeight="1" x14ac:dyDescent="0.25">
      <c r="B95" s="208" t="s">
        <v>320</v>
      </c>
      <c r="C95" s="209"/>
      <c r="D95" s="108"/>
      <c r="E95" s="108"/>
      <c r="F95" s="152">
        <v>188945.88</v>
      </c>
      <c r="G95" s="108"/>
      <c r="H95" s="152">
        <v>188945.88</v>
      </c>
    </row>
    <row r="96" spans="2:11" x14ac:dyDescent="0.25">
      <c r="B96" s="206" t="s">
        <v>73</v>
      </c>
      <c r="C96" s="207"/>
      <c r="D96" s="108"/>
      <c r="E96" s="108"/>
      <c r="F96" s="165">
        <v>1378100</v>
      </c>
      <c r="G96" s="165"/>
      <c r="H96" s="165">
        <f>1487037.6-116053.2</f>
        <v>1370984.4000000001</v>
      </c>
    </row>
    <row r="97" spans="2:8" x14ac:dyDescent="0.25">
      <c r="B97" s="9"/>
      <c r="C97" s="9"/>
      <c r="D97" s="5"/>
      <c r="E97" s="5"/>
      <c r="F97" s="15"/>
      <c r="G97" s="5"/>
      <c r="H97" s="15"/>
    </row>
    <row r="98" spans="2:8" x14ac:dyDescent="0.25">
      <c r="B98" s="201" t="s">
        <v>177</v>
      </c>
      <c r="C98" s="201"/>
      <c r="D98" s="201"/>
      <c r="E98" s="201"/>
      <c r="F98" s="201"/>
      <c r="G98" s="201"/>
    </row>
    <row r="99" spans="2:8" ht="63" customHeight="1" x14ac:dyDescent="0.25">
      <c r="B99" s="194" t="s">
        <v>29</v>
      </c>
      <c r="C99" s="194"/>
      <c r="D99" s="91" t="s">
        <v>30</v>
      </c>
      <c r="E99" s="91" t="s">
        <v>31</v>
      </c>
      <c r="F99" s="89" t="s">
        <v>82</v>
      </c>
      <c r="G99" s="89" t="s">
        <v>32</v>
      </c>
    </row>
    <row r="100" spans="2:8" x14ac:dyDescent="0.25">
      <c r="B100" s="181" t="s">
        <v>83</v>
      </c>
      <c r="C100" s="183"/>
      <c r="D100" s="88">
        <v>100542.16</v>
      </c>
      <c r="E100" s="88">
        <v>69280.509999999995</v>
      </c>
      <c r="F100" s="88">
        <f>E100</f>
        <v>69280.509999999995</v>
      </c>
      <c r="G100" s="85">
        <f>67896.21-25088.51</f>
        <v>42807.700000000012</v>
      </c>
    </row>
    <row r="101" spans="2:8" x14ac:dyDescent="0.25">
      <c r="B101" s="181" t="s">
        <v>84</v>
      </c>
      <c r="C101" s="183"/>
      <c r="D101" s="88">
        <f>60599.38-801.89+16412.83-222.5+18737.19-233.25+31808.71</f>
        <v>126300.47</v>
      </c>
      <c r="E101" s="88">
        <f>57951.73+15753.57+17244.88+30513.95</f>
        <v>121464.13</v>
      </c>
      <c r="F101" s="88">
        <f t="shared" ref="F101:F108" si="1">E101</f>
        <v>121464.13</v>
      </c>
      <c r="G101" s="85">
        <f>52870.33+14090.47+11802.74-15213.79+51.1-4120.53+13.84-4704.07+15.8+6084.89</f>
        <v>60890.780000000006</v>
      </c>
    </row>
    <row r="102" spans="2:8" ht="30" customHeight="1" x14ac:dyDescent="0.25">
      <c r="B102" s="174" t="s">
        <v>85</v>
      </c>
      <c r="C102" s="175"/>
      <c r="D102" s="88">
        <v>35143.199999999997</v>
      </c>
      <c r="E102" s="88">
        <v>35219.82</v>
      </c>
      <c r="F102" s="88">
        <f t="shared" si="1"/>
        <v>35219.82</v>
      </c>
      <c r="G102" s="85">
        <f>24786.55-8785.8</f>
        <v>16000.75</v>
      </c>
    </row>
    <row r="103" spans="2:8" ht="30" customHeight="1" x14ac:dyDescent="0.25">
      <c r="B103" s="174" t="s">
        <v>86</v>
      </c>
      <c r="C103" s="175"/>
      <c r="D103" s="88">
        <v>8981.2800000000007</v>
      </c>
      <c r="E103" s="88">
        <v>8922.6200000000008</v>
      </c>
      <c r="F103" s="88">
        <f t="shared" si="1"/>
        <v>8922.6200000000008</v>
      </c>
      <c r="G103" s="85">
        <f>5967.63-2245.32</f>
        <v>3722.31</v>
      </c>
    </row>
    <row r="104" spans="2:8" x14ac:dyDescent="0.25">
      <c r="B104" s="174" t="s">
        <v>87</v>
      </c>
      <c r="C104" s="175"/>
      <c r="D104" s="88"/>
      <c r="E104" s="88"/>
      <c r="F104" s="88">
        <f t="shared" si="1"/>
        <v>0</v>
      </c>
      <c r="G104" s="85"/>
    </row>
    <row r="105" spans="2:8" x14ac:dyDescent="0.25">
      <c r="B105" s="174" t="s">
        <v>88</v>
      </c>
      <c r="C105" s="175"/>
      <c r="D105" s="88">
        <v>6247.24</v>
      </c>
      <c r="E105" s="88">
        <v>6289.84</v>
      </c>
      <c r="F105" s="88">
        <f t="shared" si="1"/>
        <v>6289.84</v>
      </c>
      <c r="G105" s="85">
        <f>4560.74-1561.81</f>
        <v>2998.93</v>
      </c>
    </row>
    <row r="106" spans="2:8" x14ac:dyDescent="0.25">
      <c r="B106" s="174" t="s">
        <v>150</v>
      </c>
      <c r="C106" s="175"/>
      <c r="D106" s="88">
        <v>25550</v>
      </c>
      <c r="E106" s="88">
        <f>26278.54+118.62</f>
        <v>26397.16</v>
      </c>
      <c r="F106" s="88">
        <f t="shared" si="1"/>
        <v>26397.16</v>
      </c>
      <c r="G106" s="85">
        <f>20973.11+1351.21-6370</f>
        <v>15954.32</v>
      </c>
    </row>
    <row r="107" spans="2:8" x14ac:dyDescent="0.25">
      <c r="B107" s="174" t="s">
        <v>89</v>
      </c>
      <c r="C107" s="175"/>
      <c r="D107" s="88">
        <v>14899.92</v>
      </c>
      <c r="E107" s="88">
        <v>15150.57</v>
      </c>
      <c r="F107" s="88">
        <f t="shared" si="1"/>
        <v>15150.57</v>
      </c>
      <c r="G107" s="85">
        <f>11021.5-3724.98</f>
        <v>7296.52</v>
      </c>
    </row>
    <row r="108" spans="2:8" ht="30" x14ac:dyDescent="0.25">
      <c r="B108" s="86" t="s">
        <v>81</v>
      </c>
      <c r="C108" s="87"/>
      <c r="D108" s="88">
        <v>-47.58</v>
      </c>
      <c r="E108" s="88">
        <f>10.79+7821.76+75.87+300.79</f>
        <v>8209.2100000000009</v>
      </c>
      <c r="F108" s="88">
        <f t="shared" si="1"/>
        <v>8209.2100000000009</v>
      </c>
      <c r="G108" s="85">
        <f>735.57+2415.58+415.54+2099.26</f>
        <v>5665.9500000000007</v>
      </c>
    </row>
    <row r="109" spans="2:8" ht="18.75" customHeight="1" x14ac:dyDescent="0.25">
      <c r="B109" s="202" t="s">
        <v>90</v>
      </c>
      <c r="C109" s="203"/>
      <c r="D109" s="90">
        <f>SUM(D100:D108)</f>
        <v>317616.69</v>
      </c>
      <c r="E109" s="90">
        <f>SUM(E100:E108)</f>
        <v>290933.86000000004</v>
      </c>
      <c r="F109" s="88">
        <f>E109</f>
        <v>290933.86000000004</v>
      </c>
      <c r="G109" s="90">
        <f>SUM(G100:G108)</f>
        <v>155337.26</v>
      </c>
    </row>
    <row r="110" spans="2:8" x14ac:dyDescent="0.25">
      <c r="B110" s="202" t="s">
        <v>91</v>
      </c>
      <c r="C110" s="203"/>
      <c r="D110" s="96">
        <f>D109+F121+E38+C144</f>
        <v>3774074.8400000003</v>
      </c>
      <c r="E110" s="96">
        <f>E109+G121+F38+D144</f>
        <v>3382771.8400000003</v>
      </c>
      <c r="F110" s="96">
        <f>E110</f>
        <v>3382771.8400000003</v>
      </c>
      <c r="G110" s="96">
        <f>G38+G109+H121+F144</f>
        <v>1645060.4000000001</v>
      </c>
    </row>
    <row r="111" spans="2:8" x14ac:dyDescent="0.25">
      <c r="B111" s="16"/>
      <c r="C111" s="16"/>
      <c r="D111" s="16"/>
      <c r="E111" s="17"/>
      <c r="F111" s="17"/>
      <c r="G111" s="17"/>
      <c r="H111" s="17"/>
    </row>
    <row r="112" spans="2:8" x14ac:dyDescent="0.25">
      <c r="B112" s="204" t="s">
        <v>176</v>
      </c>
      <c r="C112" s="201"/>
      <c r="D112" s="201"/>
      <c r="E112" s="201"/>
      <c r="F112" s="201"/>
    </row>
    <row r="113" spans="2:8" ht="38.25" customHeight="1" x14ac:dyDescent="0.25">
      <c r="B113" s="194" t="s">
        <v>29</v>
      </c>
      <c r="C113" s="194" t="s">
        <v>93</v>
      </c>
      <c r="D113" s="194"/>
      <c r="E113" s="205" t="s">
        <v>94</v>
      </c>
      <c r="F113" s="194" t="s">
        <v>30</v>
      </c>
      <c r="G113" s="194" t="s">
        <v>31</v>
      </c>
      <c r="H113" s="195" t="s">
        <v>95</v>
      </c>
    </row>
    <row r="114" spans="2:8" ht="35.25" customHeight="1" x14ac:dyDescent="0.25">
      <c r="B114" s="194"/>
      <c r="C114" s="91" t="s">
        <v>96</v>
      </c>
      <c r="D114" s="19" t="s">
        <v>97</v>
      </c>
      <c r="E114" s="205"/>
      <c r="F114" s="194"/>
      <c r="G114" s="194"/>
      <c r="H114" s="195"/>
    </row>
    <row r="115" spans="2:8" x14ac:dyDescent="0.25">
      <c r="B115" s="10" t="s">
        <v>98</v>
      </c>
      <c r="C115" s="88">
        <v>1400.08</v>
      </c>
      <c r="D115" s="42">
        <v>1439.26</v>
      </c>
      <c r="E115" s="110">
        <f>F115/D115</f>
        <v>529.31843447327094</v>
      </c>
      <c r="F115" s="88">
        <f>-9869.43+761826.85+9869.43</f>
        <v>761826.85</v>
      </c>
      <c r="G115" s="88">
        <f>1310.55+437204.49</f>
        <v>438515.04</v>
      </c>
      <c r="H115" s="88">
        <f>5342.47+586719.79-302231.41</f>
        <v>289830.85000000003</v>
      </c>
    </row>
    <row r="116" spans="2:8" x14ac:dyDescent="0.25">
      <c r="B116" s="10" t="s">
        <v>147</v>
      </c>
      <c r="C116" s="88">
        <v>22.15</v>
      </c>
      <c r="D116" s="42">
        <v>26.44</v>
      </c>
      <c r="E116" s="110">
        <v>3846.38</v>
      </c>
      <c r="F116" s="88">
        <f>419933.87-1449.7+23865.68-13207.79+5749.39-3172.86+96107.7+601.37</f>
        <v>528427.66</v>
      </c>
      <c r="G116" s="88">
        <f>394268.11+17681.67+4280.32+83956.23</f>
        <v>500186.32999999996</v>
      </c>
      <c r="H116" s="88">
        <f>463334.84-1234.1-573.48+78987.83-119543.27-6891.05+7603.41+1939.83-26057.11-1887.02</f>
        <v>395679.88000000006</v>
      </c>
    </row>
    <row r="117" spans="2:8" x14ac:dyDescent="0.25">
      <c r="B117" s="10" t="s">
        <v>99</v>
      </c>
      <c r="C117" s="88">
        <v>18.43</v>
      </c>
      <c r="D117" s="42">
        <v>19.22</v>
      </c>
      <c r="E117" s="110">
        <v>5983</v>
      </c>
      <c r="F117" s="88">
        <f>11177.58-1595.41+103911.83-1765.31</f>
        <v>111728.69</v>
      </c>
      <c r="G117" s="88">
        <f>14298.97+106545.99+1313.15</f>
        <v>122158.11</v>
      </c>
      <c r="H117" s="88">
        <f>7945.68+146308.13+11198.58-1687.83+1608.64-24874.05-1511.76</f>
        <v>138987.39000000001</v>
      </c>
    </row>
    <row r="118" spans="2:8" x14ac:dyDescent="0.25">
      <c r="B118" s="10" t="s">
        <v>100</v>
      </c>
      <c r="C118" s="88">
        <v>12.31</v>
      </c>
      <c r="D118" s="42">
        <v>12.84</v>
      </c>
      <c r="E118" s="110">
        <v>9552.42</v>
      </c>
      <c r="F118" s="88">
        <f>116091.28-318.76-689.71</f>
        <v>115082.81</v>
      </c>
      <c r="G118" s="88">
        <f>113546.13+36.99</f>
        <v>113583.12000000001</v>
      </c>
      <c r="H118" s="88">
        <f>149693.57-29271.31-1926.38</f>
        <v>118495.88</v>
      </c>
    </row>
    <row r="119" spans="2:8" x14ac:dyDescent="0.25">
      <c r="B119" s="10" t="s">
        <v>101</v>
      </c>
      <c r="C119" s="88" t="s">
        <v>145</v>
      </c>
      <c r="D119" s="42" t="s">
        <v>146</v>
      </c>
      <c r="E119" s="110">
        <v>94685.440000000002</v>
      </c>
      <c r="F119" s="88">
        <f>46190.64-5427.81+313485.66-881.68</f>
        <v>353366.81</v>
      </c>
      <c r="G119" s="88">
        <f>38100.55+294218.44</f>
        <v>332318.99</v>
      </c>
      <c r="H119" s="88">
        <f>26312.99+307226.54-15846.51+4617.38-83992.44-4446.43</f>
        <v>233871.52999999997</v>
      </c>
    </row>
    <row r="120" spans="2:8" x14ac:dyDescent="0.25">
      <c r="B120" s="10" t="s">
        <v>102</v>
      </c>
      <c r="C120" s="88">
        <v>2.2999999999999998</v>
      </c>
      <c r="D120" s="42">
        <v>2.39</v>
      </c>
      <c r="E120" s="110">
        <f t="shared" ref="E120" si="2">F120/D120</f>
        <v>11198.757322175732</v>
      </c>
      <c r="F120" s="88">
        <f>27194.71-429.68</f>
        <v>26765.03</v>
      </c>
      <c r="G120" s="88">
        <v>26770.44</v>
      </c>
      <c r="H120" s="88">
        <f>15022.85-6754.28-195.29</f>
        <v>8073.28</v>
      </c>
    </row>
    <row r="121" spans="2:8" x14ac:dyDescent="0.25">
      <c r="B121" s="11" t="s">
        <v>103</v>
      </c>
      <c r="C121" s="90"/>
      <c r="D121" s="42"/>
      <c r="E121" s="4"/>
      <c r="F121" s="90">
        <f>SUM(F115:F120)</f>
        <v>1897197.85</v>
      </c>
      <c r="G121" s="90">
        <f>SUM(G115:G120)</f>
        <v>1533532.03</v>
      </c>
      <c r="H121" s="90">
        <f>SUM(H115:H120)</f>
        <v>1184938.81</v>
      </c>
    </row>
    <row r="122" spans="2:8" x14ac:dyDescent="0.25">
      <c r="B122" s="16"/>
      <c r="C122" s="16"/>
      <c r="D122" s="16"/>
      <c r="E122" s="17"/>
      <c r="F122" s="17"/>
      <c r="G122" s="17"/>
      <c r="H122" s="17"/>
    </row>
    <row r="123" spans="2:8" x14ac:dyDescent="0.25">
      <c r="B123" s="16"/>
      <c r="C123" s="16" t="s">
        <v>244</v>
      </c>
      <c r="D123" s="16"/>
      <c r="E123" s="17"/>
      <c r="F123" s="17"/>
      <c r="G123" s="17"/>
      <c r="H123" s="17"/>
    </row>
    <row r="124" spans="2:8" x14ac:dyDescent="0.25">
      <c r="B124" s="137" t="s">
        <v>228</v>
      </c>
      <c r="C124" s="137" t="s">
        <v>229</v>
      </c>
      <c r="D124" s="137"/>
      <c r="E124" s="131" t="s">
        <v>230</v>
      </c>
      <c r="F124" s="17"/>
      <c r="G124" s="17"/>
      <c r="H124" s="17"/>
    </row>
    <row r="125" spans="2:8" x14ac:dyDescent="0.25">
      <c r="B125" s="133" t="s">
        <v>231</v>
      </c>
      <c r="C125" s="199">
        <v>11</v>
      </c>
      <c r="D125" s="200"/>
      <c r="E125" s="105">
        <v>100</v>
      </c>
      <c r="F125" s="17"/>
      <c r="G125" s="17"/>
      <c r="H125" s="17"/>
    </row>
    <row r="126" spans="2:8" x14ac:dyDescent="0.25">
      <c r="B126" s="133" t="s">
        <v>232</v>
      </c>
      <c r="C126" s="199">
        <v>72</v>
      </c>
      <c r="D126" s="200"/>
      <c r="E126" s="105">
        <v>100</v>
      </c>
      <c r="F126" s="17"/>
      <c r="G126" s="17"/>
      <c r="H126" s="17"/>
    </row>
    <row r="127" spans="2:8" x14ac:dyDescent="0.25">
      <c r="B127" s="133" t="s">
        <v>233</v>
      </c>
      <c r="C127" s="199"/>
      <c r="D127" s="200"/>
      <c r="E127" s="105"/>
      <c r="F127" s="17"/>
      <c r="G127" s="17"/>
      <c r="H127" s="17"/>
    </row>
    <row r="128" spans="2:8" x14ac:dyDescent="0.25">
      <c r="B128" s="133" t="s">
        <v>234</v>
      </c>
      <c r="C128" s="199">
        <v>3</v>
      </c>
      <c r="D128" s="200"/>
      <c r="E128" s="105">
        <v>100</v>
      </c>
      <c r="F128" s="17"/>
      <c r="G128" s="17"/>
      <c r="H128" s="17"/>
    </row>
    <row r="129" spans="2:8" x14ac:dyDescent="0.25">
      <c r="B129" s="133" t="s">
        <v>235</v>
      </c>
      <c r="C129" s="199">
        <v>1</v>
      </c>
      <c r="D129" s="200"/>
      <c r="E129" s="105">
        <v>100</v>
      </c>
      <c r="F129" s="17"/>
      <c r="G129" s="17"/>
      <c r="H129" s="17"/>
    </row>
    <row r="130" spans="2:8" x14ac:dyDescent="0.25">
      <c r="B130" s="133" t="s">
        <v>236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70</v>
      </c>
      <c r="C131" s="199">
        <v>7</v>
      </c>
      <c r="D131" s="200"/>
      <c r="E131" s="105">
        <v>100</v>
      </c>
      <c r="F131" s="17"/>
      <c r="G131" s="17"/>
      <c r="H131" s="17"/>
    </row>
    <row r="132" spans="2:8" x14ac:dyDescent="0.25">
      <c r="B132" s="133" t="s">
        <v>237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238</v>
      </c>
      <c r="C133" s="199">
        <v>7</v>
      </c>
      <c r="D133" s="200"/>
      <c r="E133" s="105">
        <v>100</v>
      </c>
      <c r="F133" s="17"/>
      <c r="G133" s="17"/>
      <c r="H133" s="17"/>
    </row>
    <row r="134" spans="2:8" x14ac:dyDescent="0.25">
      <c r="B134" s="133" t="s">
        <v>239</v>
      </c>
      <c r="C134" s="199"/>
      <c r="D134" s="200"/>
      <c r="E134" s="105"/>
      <c r="F134" s="17"/>
      <c r="G134" s="17"/>
      <c r="H134" s="17"/>
    </row>
    <row r="135" spans="2:8" x14ac:dyDescent="0.25">
      <c r="B135" s="133" t="s">
        <v>240</v>
      </c>
      <c r="C135" s="199"/>
      <c r="D135" s="200"/>
      <c r="E135" s="105"/>
      <c r="F135" s="17"/>
      <c r="G135" s="17"/>
      <c r="H135" s="17"/>
    </row>
    <row r="136" spans="2:8" x14ac:dyDescent="0.25">
      <c r="B136" s="133" t="s">
        <v>241</v>
      </c>
      <c r="C136" s="199"/>
      <c r="D136" s="200"/>
      <c r="E136" s="105"/>
      <c r="F136" s="17"/>
      <c r="G136" s="17"/>
      <c r="H136" s="17"/>
    </row>
    <row r="137" spans="2:8" x14ac:dyDescent="0.25">
      <c r="B137" s="133" t="s">
        <v>242</v>
      </c>
      <c r="C137" s="199"/>
      <c r="D137" s="200"/>
      <c r="E137" s="105"/>
      <c r="F137" s="17"/>
      <c r="G137" s="17"/>
      <c r="H137" s="17"/>
    </row>
    <row r="138" spans="2:8" x14ac:dyDescent="0.25">
      <c r="B138" s="133" t="s">
        <v>243</v>
      </c>
      <c r="C138" s="199"/>
      <c r="D138" s="200"/>
      <c r="E138" s="105"/>
      <c r="F138" s="17"/>
      <c r="G138" s="17"/>
      <c r="H138" s="17"/>
    </row>
    <row r="139" spans="2:8" x14ac:dyDescent="0.25">
      <c r="B139" s="139" t="s">
        <v>103</v>
      </c>
      <c r="C139" s="245">
        <f>SUM(C125:C138)</f>
        <v>101</v>
      </c>
      <c r="D139" s="246"/>
      <c r="E139" s="123">
        <v>100</v>
      </c>
      <c r="F139" s="9"/>
      <c r="G139" s="9"/>
      <c r="H139" s="17"/>
    </row>
    <row r="140" spans="2:8" x14ac:dyDescent="0.25">
      <c r="B140" s="12"/>
      <c r="C140" s="12"/>
      <c r="D140" s="9"/>
      <c r="E140" s="9"/>
      <c r="F140" s="9"/>
      <c r="G140" s="9"/>
    </row>
    <row r="141" spans="2:8" ht="44.25" customHeight="1" x14ac:dyDescent="0.25">
      <c r="B141" s="33"/>
      <c r="C141" s="90" t="s">
        <v>30</v>
      </c>
      <c r="D141" s="90" t="s">
        <v>31</v>
      </c>
      <c r="E141" s="89" t="s">
        <v>104</v>
      </c>
      <c r="F141" s="89" t="s">
        <v>32</v>
      </c>
    </row>
    <row r="142" spans="2:8" x14ac:dyDescent="0.25">
      <c r="B142" s="32" t="s">
        <v>105</v>
      </c>
      <c r="C142" s="88">
        <f>178196+5950</f>
        <v>184146</v>
      </c>
      <c r="D142" s="88">
        <f>186165.22+748.2+90.2+302.54</f>
        <v>187306.16000000003</v>
      </c>
      <c r="E142" s="88"/>
      <c r="F142" s="85">
        <f>93346.67+2522.49+204.61+850.63-44549</f>
        <v>52375.400000000009</v>
      </c>
    </row>
    <row r="143" spans="2:8" x14ac:dyDescent="0.25">
      <c r="B143" s="32" t="s">
        <v>106</v>
      </c>
      <c r="C143" s="88">
        <f>14519.24-5152.8</f>
        <v>9366.4399999999987</v>
      </c>
      <c r="D143" s="88">
        <f>378.21+12246.79</f>
        <v>12625</v>
      </c>
      <c r="E143" s="88"/>
      <c r="F143" s="85">
        <f>2033.25+33932.02-3629.81</f>
        <v>32335.459999999995</v>
      </c>
    </row>
    <row r="144" spans="2:8" ht="28.5" x14ac:dyDescent="0.25">
      <c r="B144" s="33" t="s">
        <v>178</v>
      </c>
      <c r="C144" s="90">
        <f>SUM(C142:C143)</f>
        <v>193512.44</v>
      </c>
      <c r="D144" s="90">
        <f>SUM(D142:D143)</f>
        <v>199931.16000000003</v>
      </c>
      <c r="E144" s="90"/>
      <c r="F144" s="90">
        <f>SUM(F142:F143)</f>
        <v>84710.86</v>
      </c>
    </row>
    <row r="146" spans="2:6" x14ac:dyDescent="0.25">
      <c r="B146" s="177" t="s">
        <v>108</v>
      </c>
      <c r="C146" s="178"/>
      <c r="D146" s="179"/>
      <c r="E146" s="196">
        <f>G110</f>
        <v>1645060.4000000001</v>
      </c>
      <c r="F146" s="197"/>
    </row>
    <row r="148" spans="2:6" x14ac:dyDescent="0.25">
      <c r="B148" s="198" t="s">
        <v>109</v>
      </c>
      <c r="C148" s="198"/>
      <c r="D148" s="198"/>
      <c r="E148" s="193"/>
      <c r="F148" s="193"/>
    </row>
    <row r="149" spans="2:6" x14ac:dyDescent="0.25">
      <c r="B149" s="192" t="s">
        <v>110</v>
      </c>
      <c r="C149" s="192"/>
      <c r="D149" s="192"/>
      <c r="E149" s="193"/>
      <c r="F149" s="193"/>
    </row>
    <row r="150" spans="2:6" x14ac:dyDescent="0.25">
      <c r="B150" s="192" t="s">
        <v>111</v>
      </c>
      <c r="C150" s="192"/>
      <c r="D150" s="192"/>
      <c r="E150" s="193"/>
      <c r="F150" s="193"/>
    </row>
    <row r="151" spans="2:6" x14ac:dyDescent="0.25">
      <c r="B151" s="192" t="s">
        <v>112</v>
      </c>
      <c r="C151" s="192"/>
      <c r="D151" s="192"/>
      <c r="E151" s="193"/>
      <c r="F151" s="193"/>
    </row>
    <row r="152" spans="2:6" x14ac:dyDescent="0.25">
      <c r="B152" s="192" t="s">
        <v>113</v>
      </c>
      <c r="C152" s="192"/>
      <c r="D152" s="192"/>
      <c r="E152" s="193"/>
      <c r="F152" s="193"/>
    </row>
    <row r="154" spans="2:6" x14ac:dyDescent="0.25">
      <c r="B154" s="177" t="s">
        <v>114</v>
      </c>
      <c r="C154" s="178"/>
      <c r="D154" s="179"/>
      <c r="E154" s="193"/>
      <c r="F154" s="193"/>
    </row>
    <row r="156" spans="2:6" hidden="1" x14ac:dyDescent="0.25">
      <c r="B156" s="181" t="s">
        <v>123</v>
      </c>
      <c r="C156" s="183"/>
      <c r="D156" s="88" t="s">
        <v>124</v>
      </c>
      <c r="E156" s="176" t="s">
        <v>122</v>
      </c>
      <c r="F156" s="176"/>
    </row>
    <row r="157" spans="2:6" hidden="1" x14ac:dyDescent="0.25">
      <c r="B157" s="181" t="s">
        <v>125</v>
      </c>
      <c r="C157" s="183"/>
      <c r="D157" s="88" t="s">
        <v>126</v>
      </c>
      <c r="E157" s="176" t="s">
        <v>122</v>
      </c>
      <c r="F157" s="176"/>
    </row>
    <row r="158" spans="2:6" ht="30" hidden="1" customHeight="1" x14ac:dyDescent="0.25">
      <c r="B158" s="174" t="s">
        <v>127</v>
      </c>
      <c r="C158" s="175"/>
      <c r="D158" s="88" t="s">
        <v>128</v>
      </c>
      <c r="E158" s="176" t="s">
        <v>122</v>
      </c>
      <c r="F158" s="176"/>
    </row>
    <row r="159" spans="2:6" ht="30" hidden="1" customHeight="1" x14ac:dyDescent="0.25">
      <c r="B159" s="174" t="s">
        <v>129</v>
      </c>
      <c r="C159" s="175"/>
      <c r="D159" s="88" t="s">
        <v>130</v>
      </c>
      <c r="E159" s="176"/>
      <c r="F159" s="176"/>
    </row>
    <row r="160" spans="2:6" ht="30" hidden="1" x14ac:dyDescent="0.25">
      <c r="B160" s="174" t="s">
        <v>131</v>
      </c>
      <c r="C160" s="175"/>
      <c r="D160" s="24" t="s">
        <v>132</v>
      </c>
      <c r="E160" s="176" t="s">
        <v>133</v>
      </c>
      <c r="F160" s="176"/>
    </row>
    <row r="161" spans="2:8" hidden="1" x14ac:dyDescent="0.25">
      <c r="B161" s="181" t="s">
        <v>134</v>
      </c>
      <c r="C161" s="183"/>
      <c r="D161" s="10" t="s">
        <v>135</v>
      </c>
      <c r="E161" s="176"/>
      <c r="F161" s="176"/>
    </row>
    <row r="162" spans="2:8" ht="30" hidden="1" customHeight="1" x14ac:dyDescent="0.25">
      <c r="B162" s="174" t="s">
        <v>136</v>
      </c>
      <c r="C162" s="175"/>
      <c r="D162" s="10" t="s">
        <v>137</v>
      </c>
      <c r="E162" s="176"/>
      <c r="F162" s="176"/>
    </row>
    <row r="163" spans="2:8" ht="30" hidden="1" customHeight="1" x14ac:dyDescent="0.25">
      <c r="B163" s="174" t="s">
        <v>138</v>
      </c>
      <c r="C163" s="175"/>
      <c r="D163" s="88" t="s">
        <v>139</v>
      </c>
      <c r="E163" s="176"/>
      <c r="F163" s="176"/>
    </row>
    <row r="164" spans="2:8" x14ac:dyDescent="0.25">
      <c r="B164" s="177" t="s">
        <v>74</v>
      </c>
      <c r="C164" s="178"/>
      <c r="D164" s="179"/>
      <c r="E164" s="180">
        <v>1200</v>
      </c>
      <c r="F164" s="180"/>
      <c r="G164" s="25"/>
      <c r="H164" s="25"/>
    </row>
    <row r="165" spans="2:8" x14ac:dyDescent="0.25">
      <c r="B165" s="181" t="s">
        <v>75</v>
      </c>
      <c r="C165" s="182"/>
      <c r="D165" s="183"/>
      <c r="E165" s="176"/>
      <c r="F165" s="176"/>
      <c r="G165" s="26"/>
      <c r="H165" s="26"/>
    </row>
    <row r="166" spans="2:8" x14ac:dyDescent="0.25">
      <c r="B166" s="181" t="s">
        <v>76</v>
      </c>
      <c r="C166" s="182"/>
      <c r="D166" s="183"/>
      <c r="E166" s="184"/>
      <c r="F166" s="184"/>
      <c r="G166" s="27"/>
      <c r="H166" s="27"/>
    </row>
    <row r="167" spans="2:8" x14ac:dyDescent="0.25">
      <c r="B167" s="181" t="s">
        <v>77</v>
      </c>
      <c r="C167" s="182"/>
      <c r="D167" s="183"/>
      <c r="E167" s="184"/>
      <c r="F167" s="184"/>
      <c r="G167" s="27"/>
      <c r="H167" s="27"/>
    </row>
    <row r="168" spans="2:8" x14ac:dyDescent="0.25">
      <c r="B168" s="177" t="s">
        <v>78</v>
      </c>
      <c r="C168" s="178"/>
      <c r="D168" s="179"/>
      <c r="E168" s="180"/>
      <c r="F168" s="180"/>
      <c r="G168" s="25"/>
      <c r="H168" s="25"/>
    </row>
    <row r="169" spans="2:8" x14ac:dyDescent="0.25">
      <c r="B169" s="181" t="s">
        <v>79</v>
      </c>
      <c r="C169" s="182"/>
      <c r="D169" s="183"/>
      <c r="E169" s="184">
        <v>6480</v>
      </c>
      <c r="F169" s="184"/>
      <c r="G169" s="27"/>
      <c r="H169" s="27"/>
    </row>
    <row r="170" spans="2:8" x14ac:dyDescent="0.25">
      <c r="B170" s="177" t="s">
        <v>80</v>
      </c>
      <c r="C170" s="178"/>
      <c r="D170" s="179"/>
      <c r="E170" s="184"/>
      <c r="F170" s="184"/>
      <c r="G170" s="27"/>
      <c r="H170" s="27"/>
    </row>
    <row r="171" spans="2:8" x14ac:dyDescent="0.25">
      <c r="B171" s="16"/>
      <c r="C171" s="16"/>
      <c r="D171" s="16"/>
      <c r="E171" s="17"/>
      <c r="F171" s="17"/>
      <c r="G171" s="17"/>
      <c r="H171" s="17"/>
    </row>
    <row r="172" spans="2:8" ht="36" customHeight="1" x14ac:dyDescent="0.25">
      <c r="B172" s="185" t="s">
        <v>115</v>
      </c>
      <c r="C172" s="186"/>
      <c r="D172" s="186"/>
      <c r="E172" s="186"/>
      <c r="F172" s="21" t="s">
        <v>116</v>
      </c>
    </row>
    <row r="173" spans="2:8" ht="14.45" customHeight="1" x14ac:dyDescent="0.25">
      <c r="B173" s="187" t="s">
        <v>117</v>
      </c>
      <c r="C173" s="188" t="s">
        <v>118</v>
      </c>
      <c r="D173" s="190" t="s">
        <v>119</v>
      </c>
      <c r="E173" s="191"/>
      <c r="F173" s="4"/>
    </row>
    <row r="174" spans="2:8" x14ac:dyDescent="0.25">
      <c r="B174" s="187"/>
      <c r="C174" s="189"/>
      <c r="D174" s="83" t="s">
        <v>120</v>
      </c>
      <c r="E174" s="83" t="s">
        <v>121</v>
      </c>
      <c r="F174" s="4"/>
    </row>
    <row r="175" spans="2:8" x14ac:dyDescent="0.25">
      <c r="B175" s="35"/>
      <c r="C175" s="34"/>
      <c r="D175" s="4"/>
      <c r="E175" s="4"/>
      <c r="F175" s="4"/>
    </row>
    <row r="176" spans="2:8" x14ac:dyDescent="0.25">
      <c r="B176" s="35"/>
      <c r="C176" s="35"/>
      <c r="D176" s="4"/>
      <c r="E176" s="4"/>
      <c r="F176" s="4"/>
    </row>
    <row r="177" spans="2:6" x14ac:dyDescent="0.25">
      <c r="B177" s="120"/>
      <c r="C177" s="120"/>
      <c r="D177" s="121"/>
      <c r="E177" s="121"/>
      <c r="F177" s="121"/>
    </row>
    <row r="178" spans="2:6" x14ac:dyDescent="0.25">
      <c r="B178" s="120" t="s">
        <v>247</v>
      </c>
      <c r="C178" s="120"/>
      <c r="D178" s="121" t="s">
        <v>248</v>
      </c>
      <c r="E178" s="121"/>
      <c r="F178" s="121"/>
    </row>
  </sheetData>
  <mergeCells count="186">
    <mergeCell ref="B67:C67"/>
    <mergeCell ref="B68:C68"/>
    <mergeCell ref="B69:C69"/>
    <mergeCell ref="B70:C70"/>
    <mergeCell ref="B71:C71"/>
    <mergeCell ref="B72:C72"/>
    <mergeCell ref="B169:D169"/>
    <mergeCell ref="E169:F169"/>
    <mergeCell ref="B170:D170"/>
    <mergeCell ref="E170:F170"/>
    <mergeCell ref="B163:C163"/>
    <mergeCell ref="E163:F163"/>
    <mergeCell ref="B164:D164"/>
    <mergeCell ref="E164:F164"/>
    <mergeCell ref="B165:D165"/>
    <mergeCell ref="E165:F165"/>
    <mergeCell ref="B160:C160"/>
    <mergeCell ref="E160:F160"/>
    <mergeCell ref="B161:C161"/>
    <mergeCell ref="E161:F161"/>
    <mergeCell ref="B162:C162"/>
    <mergeCell ref="E162:F162"/>
    <mergeCell ref="B157:C157"/>
    <mergeCell ref="E157:F157"/>
    <mergeCell ref="B172:E172"/>
    <mergeCell ref="B173:B174"/>
    <mergeCell ref="C173:C174"/>
    <mergeCell ref="D173:E173"/>
    <mergeCell ref="B166:D166"/>
    <mergeCell ref="E166:F166"/>
    <mergeCell ref="B167:D167"/>
    <mergeCell ref="E167:F167"/>
    <mergeCell ref="B168:D168"/>
    <mergeCell ref="E168:F168"/>
    <mergeCell ref="B158:C158"/>
    <mergeCell ref="E158:F158"/>
    <mergeCell ref="B159:C159"/>
    <mergeCell ref="E159:F159"/>
    <mergeCell ref="B152:D152"/>
    <mergeCell ref="E152:F152"/>
    <mergeCell ref="B154:D154"/>
    <mergeCell ref="E154:F154"/>
    <mergeCell ref="B156:C156"/>
    <mergeCell ref="E156:F156"/>
    <mergeCell ref="B149:D149"/>
    <mergeCell ref="E149:F149"/>
    <mergeCell ref="B150:D150"/>
    <mergeCell ref="E150:F150"/>
    <mergeCell ref="B151:D151"/>
    <mergeCell ref="E151:F151"/>
    <mergeCell ref="G113:G114"/>
    <mergeCell ref="H113:H114"/>
    <mergeCell ref="B146:D146"/>
    <mergeCell ref="E146:F146"/>
    <mergeCell ref="B148:D148"/>
    <mergeCell ref="E148:F148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B106:C106"/>
    <mergeCell ref="B107:C107"/>
    <mergeCell ref="B109:C109"/>
    <mergeCell ref="B110:C110"/>
    <mergeCell ref="B112:F112"/>
    <mergeCell ref="B113:B114"/>
    <mergeCell ref="C113:D113"/>
    <mergeCell ref="E113:E114"/>
    <mergeCell ref="F113:F114"/>
    <mergeCell ref="B100:C100"/>
    <mergeCell ref="B101:C101"/>
    <mergeCell ref="B102:C102"/>
    <mergeCell ref="B103:C103"/>
    <mergeCell ref="B104:C104"/>
    <mergeCell ref="B105:C105"/>
    <mergeCell ref="B98:G98"/>
    <mergeCell ref="B99:C99"/>
    <mergeCell ref="B92:C92"/>
    <mergeCell ref="B93:C93"/>
    <mergeCell ref="B94:C94"/>
    <mergeCell ref="B95:C95"/>
    <mergeCell ref="B96:C96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50:C50"/>
    <mergeCell ref="B51:C51"/>
    <mergeCell ref="B52:C52"/>
    <mergeCell ref="B53:C53"/>
    <mergeCell ref="B54:C54"/>
    <mergeCell ref="B73:C73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C137:D137"/>
    <mergeCell ref="C138:D138"/>
    <mergeCell ref="C139:D139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4" max="7" man="1"/>
    <brk id="12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4"/>
  <sheetViews>
    <sheetView view="pageBreakPreview" topLeftCell="A15" zoomScale="70" zoomScaleSheetLayoutView="70" workbookViewId="0">
      <selection activeCell="E26" sqref="E26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6.1406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196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197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17697.099999999999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17503.099999999999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194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17697.099999999999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198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321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9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912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178097.2</v>
      </c>
      <c r="E22" s="7">
        <v>178097.2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6850753.4800000004</v>
      </c>
      <c r="E23" s="45">
        <f>E38+D96+C140</f>
        <v>3018671.91</v>
      </c>
      <c r="F23" s="7">
        <f>D97+D98+D99+D100+D101+D102+D103+D104</f>
        <v>603429.04</v>
      </c>
      <c r="G23" s="7">
        <f>F111+F112+F113+F114+F115+F116</f>
        <v>3228652.53</v>
      </c>
      <c r="H23" s="2"/>
    </row>
    <row r="24" spans="1:8" x14ac:dyDescent="0.25">
      <c r="B24" s="223" t="s">
        <v>24</v>
      </c>
      <c r="C24" s="224"/>
      <c r="D24" s="43">
        <f>E24+F24+G24</f>
        <v>6292927.4299999997</v>
      </c>
      <c r="E24" s="45">
        <f>F38+E96+D138+D139</f>
        <v>2972642.3699999996</v>
      </c>
      <c r="F24" s="7">
        <f>E97+E98+E100+E101+E104+E99+E102+E103</f>
        <v>639011.74</v>
      </c>
      <c r="G24" s="7">
        <f>G117</f>
        <v>2681273.3200000003</v>
      </c>
      <c r="H24" s="2"/>
    </row>
    <row r="25" spans="1:8" x14ac:dyDescent="0.25">
      <c r="B25" s="223" t="s">
        <v>25</v>
      </c>
      <c r="C25" s="224"/>
      <c r="D25" s="7">
        <f>E25+F25+G25</f>
        <v>5670989.1600000001</v>
      </c>
      <c r="E25" s="7">
        <f>D140+1981765.1</f>
        <v>2350704.1</v>
      </c>
      <c r="F25" s="7">
        <f>F24</f>
        <v>639011.74</v>
      </c>
      <c r="G25" s="7">
        <f>G24</f>
        <v>2681273.3200000003</v>
      </c>
      <c r="H25" s="2"/>
    </row>
    <row r="26" spans="1:8" x14ac:dyDescent="0.25">
      <c r="B26" s="223" t="s">
        <v>250</v>
      </c>
      <c r="C26" s="224"/>
      <c r="D26" s="7">
        <f>E26+F26+G26</f>
        <v>1211219.0299999998</v>
      </c>
      <c r="E26" s="45">
        <f>G38+G96+F140</f>
        <v>271016.61999999994</v>
      </c>
      <c r="F26" s="45">
        <f>G105-G96</f>
        <v>142328.38</v>
      </c>
      <c r="G26" s="45">
        <f>H117</f>
        <v>797874.02999999991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323424.87</v>
      </c>
      <c r="F31" s="40">
        <v>321120.59000000003</v>
      </c>
      <c r="G31" s="88">
        <f>50358.8-28530.4+60</f>
        <v>21888.400000000001</v>
      </c>
      <c r="H31" s="5"/>
    </row>
    <row r="32" spans="1:8" x14ac:dyDescent="0.25">
      <c r="B32" s="174" t="s">
        <v>34</v>
      </c>
      <c r="C32" s="212"/>
      <c r="D32" s="175"/>
      <c r="E32" s="88">
        <v>428386.19</v>
      </c>
      <c r="F32" s="40">
        <v>427128.36</v>
      </c>
      <c r="G32" s="88">
        <f>66131.29-37106.45+50</f>
        <v>29074.839999999997</v>
      </c>
      <c r="H32" s="5"/>
    </row>
    <row r="33" spans="2:8" x14ac:dyDescent="0.25">
      <c r="B33" s="174" t="s">
        <v>35</v>
      </c>
      <c r="C33" s="212"/>
      <c r="D33" s="175"/>
      <c r="E33" s="88">
        <v>260360.52</v>
      </c>
      <c r="F33" s="40">
        <v>258984.63</v>
      </c>
      <c r="G33" s="88">
        <f>40782.51-22928.81+59.32</f>
        <v>17913.02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616674.5</v>
      </c>
      <c r="F35" s="40">
        <v>613432.87</v>
      </c>
      <c r="G35" s="88">
        <f>96092.25-53976.92</f>
        <v>42115.33</v>
      </c>
      <c r="H35" s="5"/>
    </row>
    <row r="36" spans="2:8" x14ac:dyDescent="0.25">
      <c r="B36" s="174" t="s">
        <v>38</v>
      </c>
      <c r="C36" s="212"/>
      <c r="D36" s="175"/>
      <c r="E36" s="88">
        <v>433916.01</v>
      </c>
      <c r="F36" s="40">
        <f>428795.76+4723.9</f>
        <v>433519.66000000003</v>
      </c>
      <c r="G36" s="88">
        <f>60232.22+4852.73+9666.3-45304.55</f>
        <v>29446.699999999997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421635.32</v>
      </c>
      <c r="F37" s="40">
        <f>417665.92+3133.92</f>
        <v>420799.83999999997</v>
      </c>
      <c r="G37" s="88">
        <f>56987.6+9141.44-36456</f>
        <v>29673.039999999994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2484397.41</v>
      </c>
      <c r="F38" s="41">
        <f>SUM(F31:F37)</f>
        <v>2474985.9499999997</v>
      </c>
      <c r="G38" s="41">
        <f>SUM(G31:G37)</f>
        <v>170111.32999999996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1012171.5800000001</v>
      </c>
      <c r="G44" s="123"/>
      <c r="H44" s="123">
        <f t="shared" ref="H44" si="0">H45+H46+H47</f>
        <v>717470.31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323424.87</v>
      </c>
      <c r="G45" s="112"/>
      <c r="H45" s="105">
        <f>239967.9-42720.92</f>
        <v>197246.97999999998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428386.19</v>
      </c>
      <c r="G46" s="112"/>
      <c r="H46" s="105">
        <f>325868-57467.3</f>
        <v>268400.7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260360.52</v>
      </c>
      <c r="G47" s="112"/>
      <c r="H47" s="105">
        <f>286315.9-34493.27</f>
        <v>251822.63000000003</v>
      </c>
    </row>
    <row r="48" spans="2:8" hidden="1" x14ac:dyDescent="0.25">
      <c r="B48" s="174" t="s">
        <v>36</v>
      </c>
      <c r="C48" s="175"/>
      <c r="D48" s="88"/>
      <c r="E48" s="10"/>
      <c r="F48" s="14"/>
      <c r="G48" s="10"/>
      <c r="H48" s="14"/>
    </row>
    <row r="49" spans="2:8" x14ac:dyDescent="0.25">
      <c r="B49" s="202" t="s">
        <v>65</v>
      </c>
      <c r="C49" s="203"/>
      <c r="D49" s="88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424</v>
      </c>
      <c r="F51" s="151">
        <f>42547.81+2140</f>
        <v>44687.81</v>
      </c>
      <c r="G51" s="150" t="s">
        <v>425</v>
      </c>
      <c r="H51" s="151">
        <f>42547.81+2140</f>
        <v>44687.81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10700</v>
      </c>
      <c r="G52" s="149" t="s">
        <v>267</v>
      </c>
      <c r="H52" s="152">
        <v>11713.24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4790+16259.92</f>
        <v>21049.919999999998</v>
      </c>
      <c r="G53" s="149" t="s">
        <v>267</v>
      </c>
      <c r="H53" s="152">
        <f>4036.06+15636.59</f>
        <v>19672.650000000001</v>
      </c>
    </row>
    <row r="54" spans="2:8" ht="16.5" customHeight="1" x14ac:dyDescent="0.25">
      <c r="B54" s="208" t="s">
        <v>397</v>
      </c>
      <c r="C54" s="209"/>
      <c r="D54" s="150" t="s">
        <v>272</v>
      </c>
      <c r="E54" s="150" t="s">
        <v>398</v>
      </c>
      <c r="F54" s="151">
        <v>1767</v>
      </c>
      <c r="G54" s="150" t="s">
        <v>398</v>
      </c>
      <c r="H54" s="151">
        <v>1767</v>
      </c>
    </row>
    <row r="55" spans="2:8" x14ac:dyDescent="0.25">
      <c r="B55" s="208" t="s">
        <v>273</v>
      </c>
      <c r="C55" s="209"/>
      <c r="D55" s="153"/>
      <c r="E55" s="108"/>
      <c r="F55" s="154"/>
      <c r="G55" s="108"/>
      <c r="H55" s="154"/>
    </row>
    <row r="56" spans="2:8" x14ac:dyDescent="0.25">
      <c r="B56" s="239" t="s">
        <v>274</v>
      </c>
      <c r="C56" s="240"/>
      <c r="D56" s="108" t="s">
        <v>272</v>
      </c>
      <c r="E56" s="155"/>
      <c r="F56" s="156"/>
      <c r="G56" s="155"/>
      <c r="H56" s="156"/>
    </row>
    <row r="57" spans="2:8" x14ac:dyDescent="0.25">
      <c r="B57" s="239" t="s">
        <v>276</v>
      </c>
      <c r="C57" s="240"/>
      <c r="D57" s="108" t="s">
        <v>272</v>
      </c>
      <c r="E57" s="108"/>
      <c r="F57" s="156"/>
      <c r="G57" s="155"/>
      <c r="H57" s="156"/>
    </row>
    <row r="58" spans="2:8" x14ac:dyDescent="0.25">
      <c r="B58" s="239" t="s">
        <v>277</v>
      </c>
      <c r="C58" s="240"/>
      <c r="D58" s="108" t="s">
        <v>272</v>
      </c>
      <c r="E58" s="108"/>
      <c r="F58" s="157"/>
      <c r="G58" s="155"/>
      <c r="H58" s="156"/>
    </row>
    <row r="59" spans="2:8" x14ac:dyDescent="0.25">
      <c r="B59" s="239" t="s">
        <v>278</v>
      </c>
      <c r="C59" s="240"/>
      <c r="D59" s="108" t="s">
        <v>272</v>
      </c>
      <c r="E59" s="150"/>
      <c r="F59" s="158"/>
      <c r="G59" s="159"/>
      <c r="H59" s="158"/>
    </row>
    <row r="60" spans="2:8" x14ac:dyDescent="0.25">
      <c r="B60" s="241" t="s">
        <v>279</v>
      </c>
      <c r="C60" s="242"/>
      <c r="D60" s="108" t="s">
        <v>272</v>
      </c>
      <c r="E60" s="150"/>
      <c r="F60" s="160"/>
      <c r="G60" s="159"/>
      <c r="H60" s="158"/>
    </row>
    <row r="61" spans="2:8" x14ac:dyDescent="0.25">
      <c r="B61" s="208" t="s">
        <v>69</v>
      </c>
      <c r="C61" s="209"/>
      <c r="D61" s="108" t="s">
        <v>272</v>
      </c>
      <c r="E61" s="161" t="s">
        <v>426</v>
      </c>
      <c r="F61" s="152">
        <v>34370</v>
      </c>
      <c r="G61" s="161" t="s">
        <v>426</v>
      </c>
      <c r="H61" s="152">
        <v>34370</v>
      </c>
    </row>
    <row r="62" spans="2:8" x14ac:dyDescent="0.25">
      <c r="B62" s="208" t="s">
        <v>280</v>
      </c>
      <c r="C62" s="209"/>
      <c r="D62" s="108" t="s">
        <v>272</v>
      </c>
      <c r="E62" s="108"/>
      <c r="F62" s="154"/>
      <c r="G62" s="108"/>
      <c r="H62" s="152"/>
    </row>
    <row r="63" spans="2:8" x14ac:dyDescent="0.25">
      <c r="B63" s="208" t="s">
        <v>281</v>
      </c>
      <c r="C63" s="209"/>
      <c r="D63" s="150"/>
      <c r="E63" s="150"/>
      <c r="F63" s="151"/>
      <c r="G63" s="150"/>
      <c r="H63" s="151"/>
    </row>
    <row r="64" spans="2:8" x14ac:dyDescent="0.25">
      <c r="B64" s="208" t="s">
        <v>282</v>
      </c>
      <c r="C64" s="209"/>
      <c r="D64" s="153"/>
      <c r="E64" s="108"/>
      <c r="F64" s="154"/>
      <c r="G64" s="108"/>
      <c r="H64" s="154"/>
    </row>
    <row r="65" spans="2:8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8" ht="40.5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8" ht="39.7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8" ht="47.2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8" ht="83.25" customHeight="1" x14ac:dyDescent="0.25">
      <c r="B69" s="208" t="s">
        <v>54</v>
      </c>
      <c r="C69" s="209"/>
      <c r="D69" s="150" t="s">
        <v>266</v>
      </c>
      <c r="E69" s="150" t="s">
        <v>271</v>
      </c>
      <c r="F69" s="151">
        <v>31812.880000000001</v>
      </c>
      <c r="G69" s="150" t="s">
        <v>271</v>
      </c>
      <c r="H69" s="151">
        <v>30646.080000000002</v>
      </c>
    </row>
    <row r="70" spans="2:8" x14ac:dyDescent="0.25">
      <c r="B70" s="208" t="s">
        <v>55</v>
      </c>
      <c r="C70" s="209"/>
      <c r="D70" s="108" t="s">
        <v>266</v>
      </c>
      <c r="E70" s="108" t="s">
        <v>427</v>
      </c>
      <c r="F70" s="152">
        <v>200508</v>
      </c>
      <c r="G70" s="108"/>
      <c r="H70" s="152">
        <v>4179.88</v>
      </c>
    </row>
    <row r="71" spans="2:8" x14ac:dyDescent="0.25">
      <c r="B71" s="208" t="s">
        <v>56</v>
      </c>
      <c r="C71" s="209"/>
      <c r="D71" s="108" t="s">
        <v>266</v>
      </c>
      <c r="E71" s="108" t="s">
        <v>271</v>
      </c>
      <c r="F71" s="152">
        <v>69508.289999999994</v>
      </c>
      <c r="G71" s="108" t="s">
        <v>271</v>
      </c>
      <c r="H71" s="152">
        <v>69508.289999999994</v>
      </c>
    </row>
    <row r="72" spans="2:8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</row>
    <row r="73" spans="2:8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8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8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8" ht="42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8" ht="35.25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8" ht="72.75" customHeight="1" x14ac:dyDescent="0.25">
      <c r="B78" s="208" t="s">
        <v>62</v>
      </c>
      <c r="C78" s="209"/>
      <c r="D78" s="150" t="s">
        <v>266</v>
      </c>
      <c r="E78" s="150" t="s">
        <v>271</v>
      </c>
      <c r="F78" s="151">
        <f>34062.27+24036.4+16709.79</f>
        <v>74808.459999999992</v>
      </c>
      <c r="G78" s="150" t="s">
        <v>271</v>
      </c>
      <c r="H78" s="151">
        <f>34383.62+24068.53+16847.97</f>
        <v>75300.12</v>
      </c>
    </row>
    <row r="79" spans="2:8" x14ac:dyDescent="0.25">
      <c r="B79" s="208" t="s">
        <v>290</v>
      </c>
      <c r="C79" s="209"/>
      <c r="D79" s="108" t="s">
        <v>291</v>
      </c>
      <c r="E79" s="161" t="s">
        <v>428</v>
      </c>
      <c r="F79" s="152">
        <f>3116.01+33880+31620.07</f>
        <v>68616.08</v>
      </c>
      <c r="G79" s="108" t="s">
        <v>429</v>
      </c>
      <c r="H79" s="152">
        <f>3116.01+3116.01+10173.17+529.9+4409.9</f>
        <v>21344.990000000005</v>
      </c>
    </row>
    <row r="80" spans="2:8" x14ac:dyDescent="0.25">
      <c r="B80" s="208" t="s">
        <v>282</v>
      </c>
      <c r="C80" s="209"/>
      <c r="D80" s="108"/>
      <c r="E80" s="108"/>
      <c r="F80" s="154"/>
      <c r="G80" s="108"/>
      <c r="H80" s="152"/>
    </row>
    <row r="81" spans="2:11" ht="19.5" customHeight="1" x14ac:dyDescent="0.25">
      <c r="B81" s="243" t="s">
        <v>63</v>
      </c>
      <c r="C81" s="244"/>
      <c r="D81" s="153"/>
      <c r="E81" s="108" t="s">
        <v>271</v>
      </c>
      <c r="F81" s="152">
        <v>62906.98</v>
      </c>
      <c r="G81" s="108" t="s">
        <v>271</v>
      </c>
      <c r="H81" s="152">
        <v>62906.98</v>
      </c>
    </row>
    <row r="82" spans="2:11" ht="18" customHeight="1" x14ac:dyDescent="0.25">
      <c r="B82" s="243" t="s">
        <v>64</v>
      </c>
      <c r="C82" s="244"/>
      <c r="D82" s="108"/>
      <c r="E82" s="108" t="s">
        <v>271</v>
      </c>
      <c r="F82" s="152">
        <v>53342.81</v>
      </c>
      <c r="G82" s="108" t="s">
        <v>271</v>
      </c>
      <c r="H82" s="152">
        <v>52162.32</v>
      </c>
    </row>
    <row r="83" spans="2:11" ht="14.25" customHeight="1" x14ac:dyDescent="0.25">
      <c r="B83" s="243" t="s">
        <v>294</v>
      </c>
      <c r="C83" s="244"/>
      <c r="D83" s="108"/>
      <c r="E83" s="108"/>
      <c r="F83" s="162"/>
      <c r="G83" s="163"/>
      <c r="H83" s="162"/>
    </row>
    <row r="84" spans="2:11" ht="18" customHeight="1" x14ac:dyDescent="0.25">
      <c r="B84" s="208" t="s">
        <v>295</v>
      </c>
      <c r="C84" s="209"/>
      <c r="D84" s="153" t="s">
        <v>296</v>
      </c>
      <c r="E84" s="108"/>
      <c r="F84" s="152">
        <v>10604.29</v>
      </c>
      <c r="G84" s="108"/>
      <c r="H84" s="152">
        <v>12737.76</v>
      </c>
    </row>
    <row r="85" spans="2:11" x14ac:dyDescent="0.25">
      <c r="B85" s="208" t="s">
        <v>71</v>
      </c>
      <c r="C85" s="209"/>
      <c r="D85" s="153" t="s">
        <v>297</v>
      </c>
      <c r="E85" s="108"/>
      <c r="F85" s="152"/>
      <c r="G85" s="108"/>
      <c r="H85" s="152"/>
    </row>
    <row r="86" spans="2:11" x14ac:dyDescent="0.25">
      <c r="B86" s="208" t="s">
        <v>72</v>
      </c>
      <c r="C86" s="209"/>
      <c r="D86" s="108" t="s">
        <v>299</v>
      </c>
      <c r="E86" s="108" t="s">
        <v>430</v>
      </c>
      <c r="F86" s="152">
        <v>7552.86</v>
      </c>
      <c r="G86" s="108" t="s">
        <v>430</v>
      </c>
      <c r="H86" s="152">
        <v>7552.86</v>
      </c>
    </row>
    <row r="87" spans="2:11" x14ac:dyDescent="0.25">
      <c r="B87" s="208" t="s">
        <v>301</v>
      </c>
      <c r="C87" s="209"/>
      <c r="D87" s="108" t="s">
        <v>291</v>
      </c>
      <c r="E87" s="108" t="s">
        <v>271</v>
      </c>
      <c r="F87" s="152">
        <v>59416.17</v>
      </c>
      <c r="G87" s="108" t="s">
        <v>271</v>
      </c>
      <c r="H87" s="161">
        <v>59416.17</v>
      </c>
    </row>
    <row r="88" spans="2:11" x14ac:dyDescent="0.25">
      <c r="B88" s="208" t="s">
        <v>282</v>
      </c>
      <c r="C88" s="209"/>
      <c r="D88" s="108"/>
      <c r="E88" s="108"/>
      <c r="F88" s="154"/>
      <c r="G88" s="108"/>
      <c r="H88" s="154"/>
      <c r="K88" s="5"/>
    </row>
    <row r="89" spans="2:11" x14ac:dyDescent="0.25">
      <c r="B89" s="208" t="s">
        <v>406</v>
      </c>
      <c r="C89" s="209"/>
      <c r="D89" s="108" t="s">
        <v>407</v>
      </c>
      <c r="E89" s="108" t="s">
        <v>431</v>
      </c>
      <c r="F89" s="152">
        <v>9101.93</v>
      </c>
      <c r="G89" s="108" t="s">
        <v>431</v>
      </c>
      <c r="H89" s="152">
        <v>9101.93</v>
      </c>
    </row>
    <row r="90" spans="2:11" x14ac:dyDescent="0.25">
      <c r="B90" s="208" t="s">
        <v>302</v>
      </c>
      <c r="C90" s="209"/>
      <c r="D90" s="108" t="s">
        <v>291</v>
      </c>
      <c r="E90" s="108" t="s">
        <v>432</v>
      </c>
      <c r="F90" s="152">
        <v>26350.06</v>
      </c>
      <c r="G90" s="108" t="s">
        <v>432</v>
      </c>
      <c r="H90" s="152">
        <v>21676.69</v>
      </c>
    </row>
    <row r="91" spans="2:11" ht="30" customHeight="1" x14ac:dyDescent="0.25">
      <c r="B91" s="208" t="s">
        <v>320</v>
      </c>
      <c r="C91" s="209"/>
      <c r="D91" s="108"/>
      <c r="E91" s="108"/>
      <c r="F91" s="152">
        <v>334817.51</v>
      </c>
      <c r="G91" s="108"/>
      <c r="H91" s="152">
        <v>334817.51</v>
      </c>
    </row>
    <row r="92" spans="2:11" ht="24.75" customHeight="1" x14ac:dyDescent="0.25">
      <c r="B92" s="206" t="s">
        <v>73</v>
      </c>
      <c r="C92" s="207"/>
      <c r="D92" s="108"/>
      <c r="E92" s="108"/>
      <c r="F92" s="165">
        <v>1778000</v>
      </c>
      <c r="G92" s="165"/>
      <c r="H92" s="165">
        <f>1981765.1-215617.2</f>
        <v>1766147.9000000001</v>
      </c>
    </row>
    <row r="93" spans="2:11" x14ac:dyDescent="0.25">
      <c r="B93" s="9"/>
      <c r="C93" s="9"/>
      <c r="D93" s="5"/>
      <c r="E93" s="5"/>
      <c r="F93" s="15"/>
      <c r="G93" s="5"/>
      <c r="H93" s="15"/>
    </row>
    <row r="94" spans="2:11" x14ac:dyDescent="0.25">
      <c r="B94" s="201" t="s">
        <v>177</v>
      </c>
      <c r="C94" s="201"/>
      <c r="D94" s="201"/>
      <c r="E94" s="201"/>
      <c r="F94" s="201"/>
      <c r="G94" s="201"/>
    </row>
    <row r="95" spans="2:11" ht="63" customHeight="1" x14ac:dyDescent="0.25">
      <c r="B95" s="194" t="s">
        <v>29</v>
      </c>
      <c r="C95" s="194"/>
      <c r="D95" s="91" t="s">
        <v>30</v>
      </c>
      <c r="E95" s="91" t="s">
        <v>31</v>
      </c>
      <c r="F95" s="89" t="s">
        <v>82</v>
      </c>
      <c r="G95" s="89" t="s">
        <v>32</v>
      </c>
    </row>
    <row r="96" spans="2:11" x14ac:dyDescent="0.25">
      <c r="B96" s="181" t="s">
        <v>83</v>
      </c>
      <c r="C96" s="183"/>
      <c r="D96" s="88">
        <v>181883.66</v>
      </c>
      <c r="E96" s="88">
        <v>128717.42</v>
      </c>
      <c r="F96" s="88">
        <f>E96</f>
        <v>128717.42</v>
      </c>
      <c r="G96" s="85">
        <f>79019.65-45481.38</f>
        <v>33538.269999999997</v>
      </c>
    </row>
    <row r="97" spans="2:8" x14ac:dyDescent="0.25">
      <c r="B97" s="181" t="s">
        <v>84</v>
      </c>
      <c r="C97" s="183"/>
      <c r="D97" s="88">
        <f>94433.25-2770.15+25576.44-797.86+29198.54-754.08+48889.62</f>
        <v>193775.76</v>
      </c>
      <c r="E97" s="88">
        <f>95553.14+26091.48+28882.72+47673.43</f>
        <v>198200.77</v>
      </c>
      <c r="F97" s="98">
        <f t="shared" ref="F97:F104" si="1">E97</f>
        <v>198200.77</v>
      </c>
      <c r="G97" s="85">
        <f>48313.04+13142.48+12306.49-23698.04+310.67-6418.41+85.36-7327.38+92.71+4149.94</f>
        <v>40956.860000000015</v>
      </c>
    </row>
    <row r="98" spans="2:8" ht="30" customHeight="1" x14ac:dyDescent="0.25">
      <c r="B98" s="174" t="s">
        <v>85</v>
      </c>
      <c r="C98" s="175"/>
      <c r="D98" s="88">
        <f>63709.59+0.27</f>
        <v>63709.859999999993</v>
      </c>
      <c r="E98" s="88">
        <v>66076.89</v>
      </c>
      <c r="F98" s="98">
        <f t="shared" si="1"/>
        <v>66076.89</v>
      </c>
      <c r="G98" s="85">
        <f>27907.54-15927.39</f>
        <v>11980.150000000001</v>
      </c>
    </row>
    <row r="99" spans="2:8" ht="30" customHeight="1" x14ac:dyDescent="0.25">
      <c r="B99" s="174" t="s">
        <v>86</v>
      </c>
      <c r="C99" s="175"/>
      <c r="D99" s="88">
        <f>16282.69-3.68</f>
        <v>16279.01</v>
      </c>
      <c r="E99" s="88">
        <v>16904.96</v>
      </c>
      <c r="F99" s="98">
        <f t="shared" si="1"/>
        <v>16904.96</v>
      </c>
      <c r="G99" s="85">
        <f>6818.78-4070.68</f>
        <v>2748.1</v>
      </c>
    </row>
    <row r="100" spans="2:8" x14ac:dyDescent="0.25">
      <c r="B100" s="174" t="s">
        <v>87</v>
      </c>
      <c r="C100" s="175"/>
      <c r="D100" s="88">
        <f>-1080.22+235726.76-53.28</f>
        <v>234593.26</v>
      </c>
      <c r="E100" s="88">
        <f>5073.73+237896.55</f>
        <v>242970.28</v>
      </c>
      <c r="F100" s="98">
        <f t="shared" si="1"/>
        <v>242970.28</v>
      </c>
      <c r="G100" s="85">
        <f>30733.01+93069.5-58931.69</f>
        <v>64870.819999999992</v>
      </c>
    </row>
    <row r="101" spans="2:8" x14ac:dyDescent="0.25">
      <c r="B101" s="174" t="s">
        <v>88</v>
      </c>
      <c r="C101" s="175"/>
      <c r="D101" s="88">
        <f>11326.01-2.56</f>
        <v>11323.45</v>
      </c>
      <c r="E101" s="88">
        <v>11732.91</v>
      </c>
      <c r="F101" s="98">
        <f t="shared" si="1"/>
        <v>11732.91</v>
      </c>
      <c r="G101" s="85">
        <f>5096.39-2831.51</f>
        <v>2264.88</v>
      </c>
    </row>
    <row r="102" spans="2:8" x14ac:dyDescent="0.25">
      <c r="B102" s="174" t="s">
        <v>150</v>
      </c>
      <c r="C102" s="175"/>
      <c r="D102" s="88">
        <v>51660</v>
      </c>
      <c r="E102" s="88">
        <f>54966.91+67.1</f>
        <v>55034.01</v>
      </c>
      <c r="F102" s="98">
        <f t="shared" si="1"/>
        <v>55034.01</v>
      </c>
      <c r="G102" s="85">
        <f>20901.32+618.98-12740</f>
        <v>8780.2999999999993</v>
      </c>
    </row>
    <row r="103" spans="2:8" x14ac:dyDescent="0.25">
      <c r="B103" s="174" t="s">
        <v>89</v>
      </c>
      <c r="C103" s="175"/>
      <c r="D103" s="88">
        <f>32100-12.5</f>
        <v>32087.5</v>
      </c>
      <c r="E103" s="88">
        <v>33123.68</v>
      </c>
      <c r="F103" s="98">
        <f t="shared" si="1"/>
        <v>33123.68</v>
      </c>
      <c r="G103" s="85">
        <f>13778.8-8025</f>
        <v>5753.7999999999993</v>
      </c>
    </row>
    <row r="104" spans="2:8" ht="30" x14ac:dyDescent="0.25">
      <c r="B104" s="86" t="s">
        <v>81</v>
      </c>
      <c r="C104" s="87"/>
      <c r="D104" s="88">
        <v>0.2</v>
      </c>
      <c r="E104" s="88">
        <f>14374.47+46.89+546.88</f>
        <v>14968.239999999998</v>
      </c>
      <c r="F104" s="98">
        <f t="shared" si="1"/>
        <v>14968.239999999998</v>
      </c>
      <c r="G104" s="85">
        <f>259.33+1733.99+283.45+2696.7</f>
        <v>4973.4699999999993</v>
      </c>
    </row>
    <row r="105" spans="2:8" ht="18.75" customHeight="1" x14ac:dyDescent="0.25">
      <c r="B105" s="202" t="s">
        <v>90</v>
      </c>
      <c r="C105" s="203"/>
      <c r="D105" s="90">
        <f>SUM(D96:D104)</f>
        <v>785312.7</v>
      </c>
      <c r="E105" s="90">
        <f>SUM(E96:E104)</f>
        <v>767729.16000000015</v>
      </c>
      <c r="F105" s="88">
        <f>E105</f>
        <v>767729.16000000015</v>
      </c>
      <c r="G105" s="90">
        <f>SUM(G96:G104)</f>
        <v>175866.65</v>
      </c>
    </row>
    <row r="106" spans="2:8" x14ac:dyDescent="0.25">
      <c r="B106" s="202" t="s">
        <v>91</v>
      </c>
      <c r="C106" s="203"/>
      <c r="D106" s="96">
        <f>D105+F117+E38+C140</f>
        <v>6850753.4799999995</v>
      </c>
      <c r="E106" s="96">
        <f>E105+G117+F38+D140</f>
        <v>6292927.4299999997</v>
      </c>
      <c r="F106" s="96">
        <f>E106</f>
        <v>6292927.4299999997</v>
      </c>
      <c r="G106" s="96">
        <f>G38+G105+H117+F140</f>
        <v>1211219.0299999998</v>
      </c>
    </row>
    <row r="107" spans="2:8" x14ac:dyDescent="0.25">
      <c r="B107" s="16"/>
      <c r="C107" s="16"/>
      <c r="D107" s="16"/>
      <c r="E107" s="17"/>
      <c r="F107" s="17"/>
      <c r="G107" s="17"/>
      <c r="H107" s="17"/>
    </row>
    <row r="108" spans="2:8" x14ac:dyDescent="0.25">
      <c r="B108" s="204" t="s">
        <v>176</v>
      </c>
      <c r="C108" s="201"/>
      <c r="D108" s="201"/>
      <c r="E108" s="201"/>
      <c r="F108" s="201"/>
    </row>
    <row r="109" spans="2:8" ht="38.25" customHeight="1" x14ac:dyDescent="0.25">
      <c r="B109" s="194" t="s">
        <v>29</v>
      </c>
      <c r="C109" s="194" t="s">
        <v>93</v>
      </c>
      <c r="D109" s="194"/>
      <c r="E109" s="205" t="s">
        <v>94</v>
      </c>
      <c r="F109" s="194" t="s">
        <v>30</v>
      </c>
      <c r="G109" s="194" t="s">
        <v>31</v>
      </c>
      <c r="H109" s="195" t="s">
        <v>95</v>
      </c>
    </row>
    <row r="110" spans="2:8" ht="35.25" customHeight="1" x14ac:dyDescent="0.25">
      <c r="B110" s="194"/>
      <c r="C110" s="91" t="s">
        <v>96</v>
      </c>
      <c r="D110" s="19" t="s">
        <v>97</v>
      </c>
      <c r="E110" s="205"/>
      <c r="F110" s="194"/>
      <c r="G110" s="194"/>
      <c r="H110" s="195"/>
    </row>
    <row r="111" spans="2:8" x14ac:dyDescent="0.25">
      <c r="B111" s="10" t="s">
        <v>98</v>
      </c>
      <c r="C111" s="88">
        <v>1400.08</v>
      </c>
      <c r="D111" s="42">
        <v>1439.26</v>
      </c>
      <c r="E111" s="110">
        <v>1060.8800000000001</v>
      </c>
      <c r="F111" s="88">
        <f>-3960.51+1526991.64+2086.19</f>
        <v>1525117.3199999998</v>
      </c>
      <c r="G111" s="88">
        <f>2083.85+940759.74</f>
        <v>942843.59</v>
      </c>
      <c r="H111" s="88">
        <f>1511.88+793760.82-587767.56</f>
        <v>207505.1399999999</v>
      </c>
    </row>
    <row r="112" spans="2:8" x14ac:dyDescent="0.25">
      <c r="B112" s="10" t="s">
        <v>147</v>
      </c>
      <c r="C112" s="88">
        <v>22.15</v>
      </c>
      <c r="D112" s="42">
        <v>26.44</v>
      </c>
      <c r="E112" s="110">
        <v>5193.59</v>
      </c>
      <c r="F112" s="88">
        <f>596048.23+3503.98+43540.47-8440.34+9348.91-1811.42+128207.77+1278.96</f>
        <v>771676.55999999994</v>
      </c>
      <c r="G112" s="88">
        <f>580739.08+39405.45+8140.27+118959.26</f>
        <v>747244.05999999994</v>
      </c>
      <c r="H112" s="88">
        <f>339321.61+45623.73+9373.48+62173.63-159724.05-3422.47-8800+7111.51-2008.24+1518.06-36446.91-1213.69</f>
        <v>253506.66</v>
      </c>
    </row>
    <row r="113" spans="2:8" x14ac:dyDescent="0.25">
      <c r="B113" s="10" t="s">
        <v>99</v>
      </c>
      <c r="C113" s="88">
        <v>18.43</v>
      </c>
      <c r="D113" s="42">
        <v>19.22</v>
      </c>
      <c r="E113" s="110">
        <v>8881</v>
      </c>
      <c r="F113" s="88">
        <f>15362.32-1490.18+155637.68+1369.25</f>
        <v>170879.07</v>
      </c>
      <c r="G113" s="88">
        <f>17104.51+28.02+167196.57+382.65</f>
        <v>184711.75</v>
      </c>
      <c r="H113" s="88">
        <f>27074.13-5.3+105577.19+8267.9-3531.51+1581.87-38079.2-1021.01</f>
        <v>99864.07</v>
      </c>
    </row>
    <row r="114" spans="2:8" x14ac:dyDescent="0.25">
      <c r="B114" s="10" t="s">
        <v>100</v>
      </c>
      <c r="C114" s="88">
        <v>12.31</v>
      </c>
      <c r="D114" s="42">
        <v>12.84</v>
      </c>
      <c r="E114" s="110">
        <v>13866.11</v>
      </c>
      <c r="F114" s="88">
        <f>166235.66+2341-806.32</f>
        <v>167770.34</v>
      </c>
      <c r="G114" s="88">
        <f>170441.66+158.34</f>
        <v>170600</v>
      </c>
      <c r="H114" s="88">
        <f>109475.98-43138.59-1272.02</f>
        <v>65065.37</v>
      </c>
    </row>
    <row r="115" spans="2:8" x14ac:dyDescent="0.25">
      <c r="B115" s="10" t="s">
        <v>101</v>
      </c>
      <c r="C115" s="88" t="s">
        <v>145</v>
      </c>
      <c r="D115" s="42" t="s">
        <v>146</v>
      </c>
      <c r="E115" s="110">
        <v>278832.40000000002</v>
      </c>
      <c r="F115" s="88">
        <f>77280.11-7700.75+481105.28-15616.67</f>
        <v>535067.97</v>
      </c>
      <c r="G115" s="88">
        <f>93193.48+479843.78</f>
        <v>573037.26</v>
      </c>
      <c r="H115" s="88">
        <f>44294.77+245603.3-98.75-24016.57+18118.14-122676.76+3655.11</f>
        <v>164879.24</v>
      </c>
    </row>
    <row r="116" spans="2:8" x14ac:dyDescent="0.25">
      <c r="B116" s="10" t="s">
        <v>102</v>
      </c>
      <c r="C116" s="88">
        <v>2.2999999999999998</v>
      </c>
      <c r="D116" s="42">
        <v>2.39</v>
      </c>
      <c r="E116" s="110">
        <v>30981.3</v>
      </c>
      <c r="F116" s="88">
        <f>58796.07-654.8</f>
        <v>58141.27</v>
      </c>
      <c r="G116" s="88">
        <v>62836.66</v>
      </c>
      <c r="H116" s="88">
        <f>21131.31-14712.14+634.38</f>
        <v>7053.550000000002</v>
      </c>
    </row>
    <row r="117" spans="2:8" x14ac:dyDescent="0.25">
      <c r="B117" s="11" t="s">
        <v>103</v>
      </c>
      <c r="C117" s="90"/>
      <c r="D117" s="42"/>
      <c r="E117" s="4"/>
      <c r="F117" s="90">
        <f>SUM(F111:F116)</f>
        <v>3228652.53</v>
      </c>
      <c r="G117" s="90">
        <f>SUM(G111:G116)</f>
        <v>2681273.3200000003</v>
      </c>
      <c r="H117" s="90">
        <f>SUM(H111:H116)</f>
        <v>797874.02999999991</v>
      </c>
    </row>
    <row r="118" spans="2:8" x14ac:dyDescent="0.25">
      <c r="B118" s="16"/>
      <c r="C118" s="16"/>
      <c r="D118" s="16"/>
      <c r="E118" s="17"/>
      <c r="F118" s="17"/>
      <c r="G118" s="17"/>
      <c r="H118" s="17"/>
    </row>
    <row r="119" spans="2:8" x14ac:dyDescent="0.25">
      <c r="B119" s="16"/>
      <c r="C119" s="16" t="s">
        <v>244</v>
      </c>
      <c r="D119" s="16"/>
      <c r="E119" s="17"/>
      <c r="F119" s="17"/>
      <c r="G119" s="17"/>
      <c r="H119" s="17"/>
    </row>
    <row r="120" spans="2:8" x14ac:dyDescent="0.25">
      <c r="B120" s="137" t="s">
        <v>228</v>
      </c>
      <c r="C120" s="137" t="s">
        <v>229</v>
      </c>
      <c r="D120" s="137"/>
      <c r="E120" s="131" t="s">
        <v>230</v>
      </c>
      <c r="F120" s="17"/>
      <c r="G120" s="17"/>
      <c r="H120" s="17"/>
    </row>
    <row r="121" spans="2:8" x14ac:dyDescent="0.25">
      <c r="B121" s="133" t="s">
        <v>231</v>
      </c>
      <c r="C121" s="199">
        <v>12</v>
      </c>
      <c r="D121" s="200"/>
      <c r="E121" s="105">
        <v>100</v>
      </c>
      <c r="F121" s="17"/>
      <c r="G121" s="17"/>
      <c r="H121" s="17"/>
    </row>
    <row r="122" spans="2:8" x14ac:dyDescent="0.25">
      <c r="B122" s="133" t="s">
        <v>232</v>
      </c>
      <c r="C122" s="199">
        <v>9</v>
      </c>
      <c r="D122" s="200"/>
      <c r="E122" s="105">
        <v>100</v>
      </c>
      <c r="F122" s="17"/>
      <c r="G122" s="17"/>
      <c r="H122" s="17"/>
    </row>
    <row r="123" spans="2:8" x14ac:dyDescent="0.25">
      <c r="B123" s="133" t="s">
        <v>233</v>
      </c>
      <c r="C123" s="199"/>
      <c r="D123" s="200"/>
      <c r="E123" s="105"/>
      <c r="F123" s="17"/>
      <c r="G123" s="17"/>
      <c r="H123" s="17"/>
    </row>
    <row r="124" spans="2:8" x14ac:dyDescent="0.25">
      <c r="B124" s="133" t="s">
        <v>234</v>
      </c>
      <c r="C124" s="199">
        <v>1</v>
      </c>
      <c r="D124" s="200"/>
      <c r="E124" s="105">
        <v>100</v>
      </c>
      <c r="F124" s="17"/>
      <c r="G124" s="17"/>
      <c r="H124" s="17"/>
    </row>
    <row r="125" spans="2:8" x14ac:dyDescent="0.25">
      <c r="B125" s="133" t="s">
        <v>235</v>
      </c>
      <c r="C125" s="199"/>
      <c r="D125" s="200"/>
      <c r="E125" s="105"/>
      <c r="F125" s="17"/>
      <c r="G125" s="17"/>
      <c r="H125" s="17"/>
    </row>
    <row r="126" spans="2:8" x14ac:dyDescent="0.25">
      <c r="B126" s="133" t="s">
        <v>236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70</v>
      </c>
      <c r="C127" s="199">
        <v>6</v>
      </c>
      <c r="D127" s="200"/>
      <c r="E127" s="105">
        <v>100</v>
      </c>
      <c r="F127" s="17"/>
      <c r="G127" s="17"/>
      <c r="H127" s="17"/>
    </row>
    <row r="128" spans="2:8" x14ac:dyDescent="0.25">
      <c r="B128" s="133" t="s">
        <v>237</v>
      </c>
      <c r="C128" s="199"/>
      <c r="D128" s="200"/>
      <c r="E128" s="105"/>
      <c r="F128" s="17"/>
      <c r="G128" s="17"/>
      <c r="H128" s="17"/>
    </row>
    <row r="129" spans="2:8" x14ac:dyDescent="0.25">
      <c r="B129" s="133" t="s">
        <v>238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239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240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241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242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243</v>
      </c>
      <c r="C134" s="199"/>
      <c r="D134" s="200"/>
      <c r="E134" s="105"/>
      <c r="F134" s="17"/>
      <c r="G134" s="17"/>
      <c r="H134" s="17"/>
    </row>
    <row r="135" spans="2:8" x14ac:dyDescent="0.25">
      <c r="B135" s="139" t="s">
        <v>103</v>
      </c>
      <c r="C135" s="245">
        <f>SUM(C121:C134)</f>
        <v>28</v>
      </c>
      <c r="D135" s="246"/>
      <c r="E135" s="123">
        <v>100</v>
      </c>
      <c r="F135" s="9"/>
      <c r="G135" s="9"/>
      <c r="H135" s="17"/>
    </row>
    <row r="136" spans="2:8" x14ac:dyDescent="0.25">
      <c r="B136" s="12"/>
      <c r="C136" s="12"/>
      <c r="D136" s="9"/>
      <c r="E136" s="9"/>
      <c r="F136" s="9"/>
      <c r="G136" s="9"/>
    </row>
    <row r="137" spans="2:8" ht="44.25" customHeight="1" x14ac:dyDescent="0.25">
      <c r="B137" s="33"/>
      <c r="C137" s="90" t="s">
        <v>30</v>
      </c>
      <c r="D137" s="90" t="s">
        <v>31</v>
      </c>
      <c r="E137" s="89" t="s">
        <v>104</v>
      </c>
      <c r="F137" s="89" t="s">
        <v>32</v>
      </c>
    </row>
    <row r="138" spans="2:8" x14ac:dyDescent="0.25">
      <c r="B138" s="32" t="s">
        <v>105</v>
      </c>
      <c r="C138" s="88">
        <f>337075+7059</f>
        <v>344134</v>
      </c>
      <c r="D138" s="88">
        <f>353414.48+3.56+0.93</f>
        <v>353418.97</v>
      </c>
      <c r="E138" s="88"/>
      <c r="F138" s="85">
        <f>139734.44+2143.72+797.24-84431</f>
        <v>58244.399999999994</v>
      </c>
    </row>
    <row r="139" spans="2:8" x14ac:dyDescent="0.25">
      <c r="B139" s="32" t="s">
        <v>106</v>
      </c>
      <c r="C139" s="88">
        <f>14439.28-6182.44</f>
        <v>8256.84</v>
      </c>
      <c r="D139" s="88">
        <f>219.14+15300.89</f>
        <v>15520.029999999999</v>
      </c>
      <c r="E139" s="98"/>
      <c r="F139" s="85">
        <f>1864.33+10727.6-3469.31</f>
        <v>9122.6200000000008</v>
      </c>
    </row>
    <row r="140" spans="2:8" ht="28.5" x14ac:dyDescent="0.25">
      <c r="B140" s="33" t="s">
        <v>178</v>
      </c>
      <c r="C140" s="90">
        <f>SUM(C138:C139)</f>
        <v>352390.84</v>
      </c>
      <c r="D140" s="90">
        <f>SUM(D138:D139)</f>
        <v>368939</v>
      </c>
      <c r="E140" s="90"/>
      <c r="F140" s="90">
        <f>SUM(F138:F139)</f>
        <v>67367.01999999999</v>
      </c>
    </row>
    <row r="142" spans="2:8" x14ac:dyDescent="0.25">
      <c r="B142" s="177" t="s">
        <v>108</v>
      </c>
      <c r="C142" s="178"/>
      <c r="D142" s="179"/>
      <c r="E142" s="196">
        <f>G106</f>
        <v>1211219.0299999998</v>
      </c>
      <c r="F142" s="197"/>
    </row>
    <row r="144" spans="2:8" x14ac:dyDescent="0.25">
      <c r="B144" s="198" t="s">
        <v>109</v>
      </c>
      <c r="C144" s="198"/>
      <c r="D144" s="198"/>
      <c r="E144" s="193"/>
      <c r="F144" s="193"/>
    </row>
    <row r="145" spans="2:8" x14ac:dyDescent="0.25">
      <c r="B145" s="192" t="s">
        <v>110</v>
      </c>
      <c r="C145" s="192"/>
      <c r="D145" s="192"/>
      <c r="E145" s="193"/>
      <c r="F145" s="193"/>
    </row>
    <row r="146" spans="2:8" x14ac:dyDescent="0.25">
      <c r="B146" s="192" t="s">
        <v>111</v>
      </c>
      <c r="C146" s="192"/>
      <c r="D146" s="192"/>
      <c r="E146" s="193"/>
      <c r="F146" s="193"/>
    </row>
    <row r="147" spans="2:8" x14ac:dyDescent="0.25">
      <c r="B147" s="192" t="s">
        <v>112</v>
      </c>
      <c r="C147" s="192"/>
      <c r="D147" s="192"/>
      <c r="E147" s="193"/>
      <c r="F147" s="193"/>
    </row>
    <row r="148" spans="2:8" x14ac:dyDescent="0.25">
      <c r="B148" s="192" t="s">
        <v>113</v>
      </c>
      <c r="C148" s="192"/>
      <c r="D148" s="192"/>
      <c r="E148" s="193"/>
      <c r="F148" s="193"/>
    </row>
    <row r="150" spans="2:8" x14ac:dyDescent="0.25">
      <c r="B150" s="177" t="s">
        <v>114</v>
      </c>
      <c r="C150" s="178"/>
      <c r="D150" s="179"/>
      <c r="E150" s="193"/>
      <c r="F150" s="193"/>
    </row>
    <row r="152" spans="2:8" hidden="1" x14ac:dyDescent="0.25">
      <c r="B152" s="181" t="s">
        <v>123</v>
      </c>
      <c r="C152" s="183"/>
      <c r="D152" s="88" t="s">
        <v>124</v>
      </c>
      <c r="E152" s="176" t="s">
        <v>122</v>
      </c>
      <c r="F152" s="176"/>
    </row>
    <row r="153" spans="2:8" hidden="1" x14ac:dyDescent="0.25">
      <c r="B153" s="181" t="s">
        <v>125</v>
      </c>
      <c r="C153" s="183"/>
      <c r="D153" s="88" t="s">
        <v>126</v>
      </c>
      <c r="E153" s="176" t="s">
        <v>122</v>
      </c>
      <c r="F153" s="176"/>
    </row>
    <row r="154" spans="2:8" ht="30" hidden="1" customHeight="1" x14ac:dyDescent="0.25">
      <c r="B154" s="174" t="s">
        <v>127</v>
      </c>
      <c r="C154" s="175"/>
      <c r="D154" s="88" t="s">
        <v>128</v>
      </c>
      <c r="E154" s="176" t="s">
        <v>122</v>
      </c>
      <c r="F154" s="176"/>
    </row>
    <row r="155" spans="2:8" ht="30" hidden="1" customHeight="1" x14ac:dyDescent="0.25">
      <c r="B155" s="174" t="s">
        <v>129</v>
      </c>
      <c r="C155" s="175"/>
      <c r="D155" s="88" t="s">
        <v>130</v>
      </c>
      <c r="E155" s="176"/>
      <c r="F155" s="176"/>
    </row>
    <row r="156" spans="2:8" ht="30" hidden="1" x14ac:dyDescent="0.25">
      <c r="B156" s="174" t="s">
        <v>131</v>
      </c>
      <c r="C156" s="175"/>
      <c r="D156" s="24" t="s">
        <v>132</v>
      </c>
      <c r="E156" s="176" t="s">
        <v>133</v>
      </c>
      <c r="F156" s="176"/>
    </row>
    <row r="157" spans="2:8" hidden="1" x14ac:dyDescent="0.25">
      <c r="B157" s="181" t="s">
        <v>134</v>
      </c>
      <c r="C157" s="183"/>
      <c r="D157" s="10" t="s">
        <v>135</v>
      </c>
      <c r="E157" s="176"/>
      <c r="F157" s="176"/>
    </row>
    <row r="158" spans="2:8" ht="30" hidden="1" customHeight="1" x14ac:dyDescent="0.25">
      <c r="B158" s="174" t="s">
        <v>136</v>
      </c>
      <c r="C158" s="175"/>
      <c r="D158" s="10" t="s">
        <v>137</v>
      </c>
      <c r="E158" s="176"/>
      <c r="F158" s="176"/>
    </row>
    <row r="159" spans="2:8" ht="30" hidden="1" customHeight="1" x14ac:dyDescent="0.25">
      <c r="B159" s="174" t="s">
        <v>138</v>
      </c>
      <c r="C159" s="175"/>
      <c r="D159" s="88" t="s">
        <v>139</v>
      </c>
      <c r="E159" s="176"/>
      <c r="F159" s="176"/>
    </row>
    <row r="160" spans="2:8" x14ac:dyDescent="0.25">
      <c r="B160" s="177" t="s">
        <v>74</v>
      </c>
      <c r="C160" s="178"/>
      <c r="D160" s="179"/>
      <c r="E160" s="180">
        <v>2640</v>
      </c>
      <c r="F160" s="180"/>
      <c r="G160" s="25"/>
      <c r="H160" s="25"/>
    </row>
    <row r="161" spans="2:8" x14ac:dyDescent="0.25">
      <c r="B161" s="181" t="s">
        <v>75</v>
      </c>
      <c r="C161" s="182"/>
      <c r="D161" s="183"/>
      <c r="E161" s="176"/>
      <c r="F161" s="176"/>
      <c r="G161" s="26"/>
      <c r="H161" s="26"/>
    </row>
    <row r="162" spans="2:8" x14ac:dyDescent="0.25">
      <c r="B162" s="181" t="s">
        <v>76</v>
      </c>
      <c r="C162" s="182"/>
      <c r="D162" s="183"/>
      <c r="E162" s="184">
        <v>1440</v>
      </c>
      <c r="F162" s="184"/>
      <c r="G162" s="27"/>
      <c r="H162" s="27"/>
    </row>
    <row r="163" spans="2:8" x14ac:dyDescent="0.25">
      <c r="B163" s="181" t="s">
        <v>77</v>
      </c>
      <c r="C163" s="182"/>
      <c r="D163" s="183"/>
      <c r="E163" s="184"/>
      <c r="F163" s="184"/>
      <c r="G163" s="27"/>
      <c r="H163" s="27"/>
    </row>
    <row r="164" spans="2:8" x14ac:dyDescent="0.25">
      <c r="B164" s="177" t="s">
        <v>78</v>
      </c>
      <c r="C164" s="178"/>
      <c r="D164" s="179"/>
      <c r="E164" s="180"/>
      <c r="F164" s="180"/>
      <c r="G164" s="25"/>
      <c r="H164" s="25"/>
    </row>
    <row r="165" spans="2:8" x14ac:dyDescent="0.25">
      <c r="B165" s="181" t="s">
        <v>79</v>
      </c>
      <c r="C165" s="182"/>
      <c r="D165" s="183"/>
      <c r="E165" s="184"/>
      <c r="F165" s="184"/>
      <c r="G165" s="27"/>
      <c r="H165" s="27"/>
    </row>
    <row r="166" spans="2:8" x14ac:dyDescent="0.25">
      <c r="B166" s="177" t="s">
        <v>80</v>
      </c>
      <c r="C166" s="178"/>
      <c r="D166" s="179"/>
      <c r="E166" s="184"/>
      <c r="F166" s="184"/>
      <c r="G166" s="27"/>
      <c r="H166" s="27"/>
    </row>
    <row r="167" spans="2:8" x14ac:dyDescent="0.25">
      <c r="B167" s="16"/>
      <c r="C167" s="16"/>
      <c r="D167" s="16"/>
      <c r="E167" s="17"/>
      <c r="F167" s="17"/>
      <c r="G167" s="17"/>
      <c r="H167" s="17"/>
    </row>
    <row r="168" spans="2:8" ht="36" customHeight="1" x14ac:dyDescent="0.25">
      <c r="B168" s="185" t="s">
        <v>115</v>
      </c>
      <c r="C168" s="186"/>
      <c r="D168" s="186"/>
      <c r="E168" s="186"/>
      <c r="F168" s="21" t="s">
        <v>116</v>
      </c>
    </row>
    <row r="169" spans="2:8" ht="14.45" customHeight="1" x14ac:dyDescent="0.25">
      <c r="B169" s="187" t="s">
        <v>117</v>
      </c>
      <c r="C169" s="188" t="s">
        <v>118</v>
      </c>
      <c r="D169" s="190" t="s">
        <v>119</v>
      </c>
      <c r="E169" s="191"/>
      <c r="F169" s="4"/>
    </row>
    <row r="170" spans="2:8" x14ac:dyDescent="0.25">
      <c r="B170" s="187"/>
      <c r="C170" s="189"/>
      <c r="D170" s="83" t="s">
        <v>120</v>
      </c>
      <c r="E170" s="83" t="s">
        <v>121</v>
      </c>
      <c r="F170" s="4"/>
    </row>
    <row r="171" spans="2:8" x14ac:dyDescent="0.25">
      <c r="B171" s="115"/>
      <c r="C171" s="124"/>
      <c r="D171" s="115"/>
      <c r="E171" s="115"/>
      <c r="F171" s="4"/>
    </row>
    <row r="172" spans="2:8" x14ac:dyDescent="0.25">
      <c r="B172" s="115"/>
      <c r="C172" s="115"/>
      <c r="D172" s="115"/>
      <c r="E172" s="115"/>
      <c r="F172" s="4"/>
    </row>
    <row r="173" spans="2:8" x14ac:dyDescent="0.25">
      <c r="B173" s="120"/>
      <c r="C173" s="120"/>
      <c r="D173" s="121"/>
      <c r="E173" s="121"/>
      <c r="F173" s="121"/>
    </row>
    <row r="174" spans="2:8" x14ac:dyDescent="0.25">
      <c r="B174" s="120" t="s">
        <v>247</v>
      </c>
      <c r="C174" s="120"/>
      <c r="D174" s="121" t="s">
        <v>248</v>
      </c>
      <c r="E174" s="121"/>
      <c r="F174" s="121"/>
    </row>
  </sheetData>
  <mergeCells count="182">
    <mergeCell ref="B68:C68"/>
    <mergeCell ref="B69:C69"/>
    <mergeCell ref="B70:C70"/>
    <mergeCell ref="B71:C71"/>
    <mergeCell ref="B165:D165"/>
    <mergeCell ref="E165:F165"/>
    <mergeCell ref="B166:D166"/>
    <mergeCell ref="E166:F166"/>
    <mergeCell ref="B168:E168"/>
    <mergeCell ref="B159:C159"/>
    <mergeCell ref="E159:F159"/>
    <mergeCell ref="B160:D160"/>
    <mergeCell ref="E160:F160"/>
    <mergeCell ref="B161:D161"/>
    <mergeCell ref="E161:F161"/>
    <mergeCell ref="B156:C156"/>
    <mergeCell ref="E156:F156"/>
    <mergeCell ref="B157:C157"/>
    <mergeCell ref="E157:F157"/>
    <mergeCell ref="B158:C158"/>
    <mergeCell ref="E158:F158"/>
    <mergeCell ref="B153:C153"/>
    <mergeCell ref="E153:F153"/>
    <mergeCell ref="B154:C154"/>
    <mergeCell ref="B169:B170"/>
    <mergeCell ref="C169:C170"/>
    <mergeCell ref="D169:E169"/>
    <mergeCell ref="B162:D162"/>
    <mergeCell ref="E162:F162"/>
    <mergeCell ref="B163:D163"/>
    <mergeCell ref="E163:F163"/>
    <mergeCell ref="B164:D164"/>
    <mergeCell ref="E164:F164"/>
    <mergeCell ref="E154:F154"/>
    <mergeCell ref="B155:C155"/>
    <mergeCell ref="E155:F155"/>
    <mergeCell ref="B148:D148"/>
    <mergeCell ref="E148:F148"/>
    <mergeCell ref="B150:D150"/>
    <mergeCell ref="E150:F150"/>
    <mergeCell ref="B152:C152"/>
    <mergeCell ref="E152:F152"/>
    <mergeCell ref="B145:D145"/>
    <mergeCell ref="E145:F145"/>
    <mergeCell ref="B146:D146"/>
    <mergeCell ref="E146:F146"/>
    <mergeCell ref="B147:D147"/>
    <mergeCell ref="E147:F147"/>
    <mergeCell ref="G109:G110"/>
    <mergeCell ref="H109:H110"/>
    <mergeCell ref="B142:D142"/>
    <mergeCell ref="E142:F142"/>
    <mergeCell ref="B144:D144"/>
    <mergeCell ref="E144:F144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B102:C102"/>
    <mergeCell ref="B103:C103"/>
    <mergeCell ref="B105:C105"/>
    <mergeCell ref="B106:C106"/>
    <mergeCell ref="B108:F108"/>
    <mergeCell ref="B109:B110"/>
    <mergeCell ref="C109:D109"/>
    <mergeCell ref="E109:E110"/>
    <mergeCell ref="F109:F110"/>
    <mergeCell ref="B96:C96"/>
    <mergeCell ref="B97:C97"/>
    <mergeCell ref="B98:C98"/>
    <mergeCell ref="B99:C99"/>
    <mergeCell ref="B100:C100"/>
    <mergeCell ref="B101:C101"/>
    <mergeCell ref="B94:G94"/>
    <mergeCell ref="B95:C95"/>
    <mergeCell ref="B90:C90"/>
    <mergeCell ref="B91:C91"/>
    <mergeCell ref="B92:C92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C133:D133"/>
    <mergeCell ref="C134:D134"/>
    <mergeCell ref="C135:D135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1" max="7" man="1"/>
    <brk id="11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4"/>
  <sheetViews>
    <sheetView view="pageBreakPreview" topLeftCell="A14" zoomScale="70" zoomScaleSheetLayoutView="70" workbookViewId="0">
      <selection activeCell="F33" sqref="F33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199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200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5243.6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5243.6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0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5243.6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170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109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8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257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61648.82</v>
      </c>
      <c r="E22" s="7">
        <v>61648.82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1938454</v>
      </c>
      <c r="E23" s="45">
        <f>E38+D96+C140</f>
        <v>895416.4</v>
      </c>
      <c r="F23" s="7">
        <f>D97+D98+D99+D100+D101+D102+D103+D104</f>
        <v>107964.9</v>
      </c>
      <c r="G23" s="7">
        <f>F111+F112+F113+F114+F115+F116</f>
        <v>935072.70000000007</v>
      </c>
      <c r="H23" s="2"/>
    </row>
    <row r="24" spans="1:8" x14ac:dyDescent="0.25">
      <c r="B24" s="223" t="s">
        <v>24</v>
      </c>
      <c r="C24" s="224"/>
      <c r="D24" s="43">
        <f>E24+F24+G24</f>
        <v>1801688.18</v>
      </c>
      <c r="E24" s="45">
        <f>F38+E96+D138+D139</f>
        <v>871180.19999999984</v>
      </c>
      <c r="F24" s="7">
        <f>E97+E98+E100+E101+E104+E99+E102+E103</f>
        <v>114298.44</v>
      </c>
      <c r="G24" s="7">
        <f>G117</f>
        <v>816209.54</v>
      </c>
      <c r="H24" s="2"/>
    </row>
    <row r="25" spans="1:8" x14ac:dyDescent="0.25">
      <c r="B25" s="223" t="s">
        <v>25</v>
      </c>
      <c r="C25" s="224"/>
      <c r="D25" s="7">
        <f>E25+F25+G25</f>
        <v>1997455.55</v>
      </c>
      <c r="E25" s="7">
        <f>D140+961208.4</f>
        <v>1066947.57</v>
      </c>
      <c r="F25" s="7">
        <f>F24</f>
        <v>114298.44</v>
      </c>
      <c r="G25" s="7">
        <f>G24</f>
        <v>816209.54</v>
      </c>
      <c r="H25" s="2"/>
    </row>
    <row r="26" spans="1:8" x14ac:dyDescent="0.25">
      <c r="B26" s="223" t="s">
        <v>256</v>
      </c>
      <c r="C26" s="224"/>
      <c r="D26" s="7">
        <f>E26+F26+G26</f>
        <v>371868.01</v>
      </c>
      <c r="E26" s="45">
        <f>G38+G96+F140</f>
        <v>101582.51000000001</v>
      </c>
      <c r="F26" s="45">
        <f>G105-G96</f>
        <v>24677.53</v>
      </c>
      <c r="G26" s="45">
        <f>H117</f>
        <v>245607.97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96906.58</v>
      </c>
      <c r="F31" s="40">
        <v>95158.44</v>
      </c>
      <c r="G31" s="88">
        <f>16663.12-8547.13</f>
        <v>8115.99</v>
      </c>
      <c r="H31" s="5"/>
    </row>
    <row r="32" spans="1:8" x14ac:dyDescent="0.25">
      <c r="B32" s="174" t="s">
        <v>34</v>
      </c>
      <c r="C32" s="212"/>
      <c r="D32" s="175"/>
      <c r="E32" s="88">
        <v>123227.94</v>
      </c>
      <c r="F32" s="40">
        <v>122217.85</v>
      </c>
      <c r="G32" s="88">
        <f>21706.99-11116.45</f>
        <v>10590.54</v>
      </c>
      <c r="H32" s="5"/>
    </row>
    <row r="33" spans="2:8" x14ac:dyDescent="0.25">
      <c r="B33" s="174" t="s">
        <v>35</v>
      </c>
      <c r="C33" s="212"/>
      <c r="D33" s="175"/>
      <c r="E33" s="88">
        <v>78027.740000000005</v>
      </c>
      <c r="F33" s="40">
        <v>76980.039999999994</v>
      </c>
      <c r="G33" s="88">
        <f>13637.3-6869.15</f>
        <v>6768.15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184057.52</v>
      </c>
      <c r="F35" s="40">
        <v>182137.77</v>
      </c>
      <c r="G35" s="88">
        <f>31648.71-15993.24</f>
        <v>15655.47</v>
      </c>
      <c r="H35" s="5"/>
    </row>
    <row r="36" spans="2:8" x14ac:dyDescent="0.25">
      <c r="B36" s="174" t="s">
        <v>38</v>
      </c>
      <c r="C36" s="212"/>
      <c r="D36" s="175"/>
      <c r="E36" s="88">
        <v>129416.06</v>
      </c>
      <c r="F36" s="40">
        <f>126390.23+1537.14</f>
        <v>127927.37</v>
      </c>
      <c r="G36" s="88">
        <f>571.02+18948.97+1681.79+3299.35-13423.61</f>
        <v>11077.52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125824.12</v>
      </c>
      <c r="F37" s="40">
        <f>124234+1081.94</f>
        <v>125315.94</v>
      </c>
      <c r="G37" s="88">
        <f>18329.15+3423.73-10801.81</f>
        <v>10951.070000000002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737459.96000000008</v>
      </c>
      <c r="F38" s="41">
        <f>SUM(F31:F37)</f>
        <v>729737.40999999992</v>
      </c>
      <c r="G38" s="41">
        <f>SUM(G31:G37)</f>
        <v>63158.74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298162.26</v>
      </c>
      <c r="G44" s="123"/>
      <c r="H44" s="123">
        <f t="shared" ref="H44" si="0">H45+H46+H47</f>
        <v>366676.52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96906.58</v>
      </c>
      <c r="G45" s="112"/>
      <c r="H45" s="105">
        <f>112308.5-12866.63</f>
        <v>99441.87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123227.94</v>
      </c>
      <c r="G46" s="112"/>
      <c r="H46" s="105">
        <f>198265.2-16363.77</f>
        <v>181901.43000000002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78027.740000000005</v>
      </c>
      <c r="G47" s="112"/>
      <c r="H47" s="105">
        <f>95771-10437.78</f>
        <v>85333.22</v>
      </c>
    </row>
    <row r="48" spans="2:8" hidden="1" x14ac:dyDescent="0.25">
      <c r="B48" s="174" t="s">
        <v>36</v>
      </c>
      <c r="C48" s="175"/>
      <c r="D48" s="88"/>
      <c r="E48" s="10"/>
      <c r="F48" s="14"/>
      <c r="G48" s="10"/>
      <c r="H48" s="14"/>
    </row>
    <row r="49" spans="2:8" x14ac:dyDescent="0.25">
      <c r="B49" s="202" t="s">
        <v>65</v>
      </c>
      <c r="C49" s="203"/>
      <c r="D49" s="88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433</v>
      </c>
      <c r="F51" s="151">
        <f>12606.79+1605+631</f>
        <v>14842.79</v>
      </c>
      <c r="G51" s="150" t="s">
        <v>433</v>
      </c>
      <c r="H51" s="151">
        <f>12606.79+1605+631</f>
        <v>14842.79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3199</v>
      </c>
      <c r="G52" s="149" t="s">
        <v>267</v>
      </c>
      <c r="H52" s="152">
        <v>3470.6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1430+4817.77</f>
        <v>6247.77</v>
      </c>
      <c r="G53" s="149" t="s">
        <v>267</v>
      </c>
      <c r="H53" s="152">
        <f>1195.87+4633.08</f>
        <v>5828.95</v>
      </c>
    </row>
    <row r="54" spans="2:8" ht="16.5" customHeight="1" x14ac:dyDescent="0.25">
      <c r="B54" s="208" t="s">
        <v>397</v>
      </c>
      <c r="C54" s="209"/>
      <c r="D54" s="150" t="s">
        <v>272</v>
      </c>
      <c r="E54" s="150" t="s">
        <v>434</v>
      </c>
      <c r="F54" s="151">
        <v>7068</v>
      </c>
      <c r="G54" s="150" t="s">
        <v>434</v>
      </c>
      <c r="H54" s="151">
        <v>7068</v>
      </c>
    </row>
    <row r="55" spans="2:8" ht="16.5" customHeight="1" x14ac:dyDescent="0.25">
      <c r="B55" s="208" t="s">
        <v>273</v>
      </c>
      <c r="C55" s="209"/>
      <c r="D55" s="153"/>
      <c r="E55" s="108"/>
      <c r="F55" s="154"/>
      <c r="G55" s="108"/>
      <c r="H55" s="154"/>
    </row>
    <row r="56" spans="2:8" ht="16.5" customHeight="1" x14ac:dyDescent="0.25">
      <c r="B56" s="239" t="s">
        <v>274</v>
      </c>
      <c r="C56" s="240"/>
      <c r="D56" s="108" t="s">
        <v>272</v>
      </c>
      <c r="E56" s="155"/>
      <c r="F56" s="156"/>
      <c r="G56" s="155"/>
      <c r="H56" s="156"/>
    </row>
    <row r="57" spans="2:8" ht="16.5" customHeight="1" x14ac:dyDescent="0.25">
      <c r="B57" s="239" t="s">
        <v>435</v>
      </c>
      <c r="C57" s="240"/>
      <c r="D57" s="108" t="s">
        <v>272</v>
      </c>
      <c r="E57" s="108"/>
      <c r="F57" s="156"/>
      <c r="G57" s="155" t="s">
        <v>436</v>
      </c>
      <c r="H57" s="156">
        <v>2132.2600000000002</v>
      </c>
    </row>
    <row r="58" spans="2:8" ht="16.5" customHeight="1" x14ac:dyDescent="0.25">
      <c r="B58" s="239" t="s">
        <v>277</v>
      </c>
      <c r="C58" s="240"/>
      <c r="D58" s="108" t="s">
        <v>272</v>
      </c>
      <c r="E58" s="108"/>
      <c r="F58" s="157"/>
      <c r="G58" s="155"/>
      <c r="H58" s="156"/>
    </row>
    <row r="59" spans="2:8" ht="16.5" customHeight="1" x14ac:dyDescent="0.25">
      <c r="B59" s="239" t="s">
        <v>278</v>
      </c>
      <c r="C59" s="240"/>
      <c r="D59" s="108" t="s">
        <v>272</v>
      </c>
      <c r="E59" s="150"/>
      <c r="F59" s="158"/>
      <c r="G59" s="159"/>
      <c r="H59" s="158"/>
    </row>
    <row r="60" spans="2:8" ht="16.5" customHeight="1" x14ac:dyDescent="0.25">
      <c r="B60" s="241" t="s">
        <v>279</v>
      </c>
      <c r="C60" s="242"/>
      <c r="D60" s="108" t="s">
        <v>272</v>
      </c>
      <c r="E60" s="150"/>
      <c r="F60" s="160"/>
      <c r="G60" s="159"/>
      <c r="H60" s="158"/>
    </row>
    <row r="61" spans="2:8" ht="16.5" customHeight="1" x14ac:dyDescent="0.25">
      <c r="B61" s="208" t="s">
        <v>69</v>
      </c>
      <c r="C61" s="209"/>
      <c r="D61" s="108" t="s">
        <v>272</v>
      </c>
      <c r="E61" s="161"/>
      <c r="F61" s="152"/>
      <c r="G61" s="161"/>
      <c r="H61" s="152"/>
    </row>
    <row r="62" spans="2:8" ht="16.5" customHeight="1" x14ac:dyDescent="0.25">
      <c r="B62" s="208" t="s">
        <v>280</v>
      </c>
      <c r="C62" s="209"/>
      <c r="D62" s="108" t="s">
        <v>272</v>
      </c>
      <c r="E62" s="108"/>
      <c r="F62" s="154"/>
      <c r="G62" s="108"/>
      <c r="H62" s="152"/>
    </row>
    <row r="63" spans="2:8" ht="16.5" customHeight="1" x14ac:dyDescent="0.25">
      <c r="B63" s="208" t="s">
        <v>281</v>
      </c>
      <c r="C63" s="209"/>
      <c r="D63" s="150"/>
      <c r="E63" s="150"/>
      <c r="F63" s="151"/>
      <c r="G63" s="150"/>
      <c r="H63" s="151"/>
    </row>
    <row r="64" spans="2:8" ht="16.5" customHeight="1" x14ac:dyDescent="0.25">
      <c r="B64" s="208" t="s">
        <v>282</v>
      </c>
      <c r="C64" s="209"/>
      <c r="D64" s="153"/>
      <c r="E64" s="108"/>
      <c r="F64" s="154"/>
      <c r="G64" s="108"/>
      <c r="H64" s="154"/>
    </row>
    <row r="65" spans="2:8" ht="16.5" customHeight="1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8" ht="48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8" ht="48.7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8" ht="4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8" ht="79.5" customHeight="1" x14ac:dyDescent="0.25">
      <c r="B69" s="208" t="s">
        <v>54</v>
      </c>
      <c r="C69" s="209"/>
      <c r="D69" s="150" t="s">
        <v>266</v>
      </c>
      <c r="E69" s="150" t="s">
        <v>271</v>
      </c>
      <c r="F69" s="151">
        <v>9426.06</v>
      </c>
      <c r="G69" s="150" t="s">
        <v>271</v>
      </c>
      <c r="H69" s="151">
        <v>9080.35</v>
      </c>
    </row>
    <row r="70" spans="2:8" ht="16.5" customHeight="1" x14ac:dyDescent="0.25">
      <c r="B70" s="208" t="s">
        <v>55</v>
      </c>
      <c r="C70" s="209"/>
      <c r="D70" s="108" t="s">
        <v>266</v>
      </c>
      <c r="E70" s="108" t="s">
        <v>437</v>
      </c>
      <c r="F70" s="152">
        <v>28952</v>
      </c>
      <c r="G70" s="108" t="s">
        <v>438</v>
      </c>
      <c r="H70" s="152">
        <v>38173.43</v>
      </c>
    </row>
    <row r="71" spans="2:8" ht="16.5" customHeight="1" x14ac:dyDescent="0.25">
      <c r="B71" s="208" t="s">
        <v>56</v>
      </c>
      <c r="C71" s="209"/>
      <c r="D71" s="108" t="s">
        <v>266</v>
      </c>
      <c r="E71" s="108" t="s">
        <v>271</v>
      </c>
      <c r="F71" s="152">
        <v>20595.11</v>
      </c>
      <c r="G71" s="108" t="s">
        <v>271</v>
      </c>
      <c r="H71" s="152">
        <v>20595.11</v>
      </c>
    </row>
    <row r="72" spans="2:8" ht="16.5" customHeight="1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</row>
    <row r="73" spans="2:8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8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8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8" ht="38.25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8" ht="45.75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8" ht="75.75" customHeight="1" x14ac:dyDescent="0.25">
      <c r="B78" s="208" t="s">
        <v>62</v>
      </c>
      <c r="C78" s="209"/>
      <c r="D78" s="150" t="s">
        <v>266</v>
      </c>
      <c r="E78" s="150" t="s">
        <v>271</v>
      </c>
      <c r="F78" s="151">
        <f>10092.55+7121.92+4951.06</f>
        <v>22165.530000000002</v>
      </c>
      <c r="G78" s="150" t="s">
        <v>271</v>
      </c>
      <c r="H78" s="151">
        <f>10187.77+7131.44+4992.01</f>
        <v>22311.22</v>
      </c>
    </row>
    <row r="79" spans="2:8" x14ac:dyDescent="0.25">
      <c r="B79" s="208" t="s">
        <v>290</v>
      </c>
      <c r="C79" s="209"/>
      <c r="D79" s="108" t="s">
        <v>291</v>
      </c>
      <c r="E79" s="161" t="s">
        <v>439</v>
      </c>
      <c r="F79" s="152">
        <f>917.29+3696+9368.94</f>
        <v>13982.23</v>
      </c>
      <c r="G79" s="108" t="s">
        <v>440</v>
      </c>
      <c r="H79" s="152">
        <f>917.29+1792.96+3788.78</f>
        <v>6499.0300000000007</v>
      </c>
    </row>
    <row r="80" spans="2:8" x14ac:dyDescent="0.25">
      <c r="B80" s="208" t="s">
        <v>282</v>
      </c>
      <c r="C80" s="209"/>
      <c r="D80" s="108"/>
      <c r="E80" s="108"/>
      <c r="F80" s="154"/>
      <c r="G80" s="108"/>
      <c r="H80" s="152"/>
    </row>
    <row r="81" spans="2:11" x14ac:dyDescent="0.25">
      <c r="B81" s="243" t="s">
        <v>63</v>
      </c>
      <c r="C81" s="244"/>
      <c r="D81" s="153"/>
      <c r="E81" s="108" t="s">
        <v>271</v>
      </c>
      <c r="F81" s="152">
        <v>18639.16</v>
      </c>
      <c r="G81" s="108" t="s">
        <v>271</v>
      </c>
      <c r="H81" s="152">
        <v>18639.16</v>
      </c>
    </row>
    <row r="82" spans="2:11" x14ac:dyDescent="0.25">
      <c r="B82" s="243" t="s">
        <v>64</v>
      </c>
      <c r="C82" s="244"/>
      <c r="D82" s="108"/>
      <c r="E82" s="108" t="s">
        <v>271</v>
      </c>
      <c r="F82" s="152">
        <v>15805.32</v>
      </c>
      <c r="G82" s="108" t="s">
        <v>271</v>
      </c>
      <c r="H82" s="152">
        <v>15455.55</v>
      </c>
    </row>
    <row r="83" spans="2:11" ht="17.25" customHeight="1" x14ac:dyDescent="0.25">
      <c r="B83" s="243" t="s">
        <v>294</v>
      </c>
      <c r="C83" s="244"/>
      <c r="D83" s="108"/>
      <c r="E83" s="108"/>
      <c r="F83" s="162"/>
      <c r="G83" s="163"/>
      <c r="H83" s="162"/>
    </row>
    <row r="84" spans="2:11" ht="15.75" customHeight="1" x14ac:dyDescent="0.25">
      <c r="B84" s="208" t="s">
        <v>295</v>
      </c>
      <c r="C84" s="209"/>
      <c r="D84" s="153" t="s">
        <v>296</v>
      </c>
      <c r="E84" s="108"/>
      <c r="F84" s="152"/>
      <c r="G84" s="108"/>
      <c r="H84" s="152"/>
    </row>
    <row r="85" spans="2:11" ht="15.75" customHeight="1" x14ac:dyDescent="0.25">
      <c r="B85" s="208" t="s">
        <v>71</v>
      </c>
      <c r="C85" s="209"/>
      <c r="D85" s="153" t="s">
        <v>297</v>
      </c>
      <c r="E85" s="108"/>
      <c r="F85" s="152"/>
      <c r="G85" s="108"/>
      <c r="H85" s="152"/>
    </row>
    <row r="86" spans="2:11" ht="14.25" customHeight="1" x14ac:dyDescent="0.25">
      <c r="B86" s="208" t="s">
        <v>72</v>
      </c>
      <c r="C86" s="209"/>
      <c r="D86" s="108" t="s">
        <v>299</v>
      </c>
      <c r="E86" s="108" t="s">
        <v>441</v>
      </c>
      <c r="F86" s="152">
        <v>2237.89</v>
      </c>
      <c r="G86" s="108" t="s">
        <v>441</v>
      </c>
      <c r="H86" s="152">
        <v>2237.89</v>
      </c>
    </row>
    <row r="87" spans="2:11" x14ac:dyDescent="0.25">
      <c r="B87" s="208" t="s">
        <v>301</v>
      </c>
      <c r="C87" s="209"/>
      <c r="D87" s="108" t="s">
        <v>291</v>
      </c>
      <c r="E87" s="108" t="s">
        <v>271</v>
      </c>
      <c r="F87" s="152">
        <v>17604.84</v>
      </c>
      <c r="G87" s="108" t="s">
        <v>271</v>
      </c>
      <c r="H87" s="161">
        <v>17604.84</v>
      </c>
    </row>
    <row r="88" spans="2:11" x14ac:dyDescent="0.25">
      <c r="B88" s="208" t="s">
        <v>282</v>
      </c>
      <c r="C88" s="209"/>
      <c r="D88" s="108"/>
      <c r="E88" s="108"/>
      <c r="F88" s="154"/>
      <c r="G88" s="108"/>
      <c r="H88" s="154"/>
    </row>
    <row r="89" spans="2:11" x14ac:dyDescent="0.25">
      <c r="B89" s="208" t="s">
        <v>406</v>
      </c>
      <c r="C89" s="209"/>
      <c r="D89" s="108" t="s">
        <v>407</v>
      </c>
      <c r="E89" s="108" t="s">
        <v>442</v>
      </c>
      <c r="F89" s="152">
        <v>225836.07</v>
      </c>
      <c r="G89" s="108" t="s">
        <v>442</v>
      </c>
      <c r="H89" s="152">
        <v>225836.07</v>
      </c>
    </row>
    <row r="90" spans="2:11" x14ac:dyDescent="0.25">
      <c r="B90" s="208" t="s">
        <v>302</v>
      </c>
      <c r="C90" s="209"/>
      <c r="D90" s="108" t="s">
        <v>291</v>
      </c>
      <c r="E90" s="108" t="s">
        <v>443</v>
      </c>
      <c r="F90" s="152">
        <v>7807.45</v>
      </c>
      <c r="G90" s="108" t="s">
        <v>443</v>
      </c>
      <c r="H90" s="152">
        <v>6422.74</v>
      </c>
      <c r="K90" s="5"/>
    </row>
    <row r="91" spans="2:11" ht="42" customHeight="1" x14ac:dyDescent="0.25">
      <c r="B91" s="208" t="s">
        <v>320</v>
      </c>
      <c r="C91" s="209"/>
      <c r="D91" s="108"/>
      <c r="E91" s="108"/>
      <c r="F91" s="152">
        <v>100350.08</v>
      </c>
      <c r="G91" s="108"/>
      <c r="H91" s="152">
        <v>100350.08</v>
      </c>
    </row>
    <row r="92" spans="2:11" x14ac:dyDescent="0.25">
      <c r="B92" s="206" t="s">
        <v>73</v>
      </c>
      <c r="C92" s="207"/>
      <c r="D92" s="108"/>
      <c r="E92" s="108"/>
      <c r="F92" s="165">
        <v>919000</v>
      </c>
      <c r="G92" s="165"/>
      <c r="H92" s="165">
        <f>961208.4-59807.9</f>
        <v>901400.5</v>
      </c>
    </row>
    <row r="93" spans="2:11" x14ac:dyDescent="0.25">
      <c r="B93" s="9"/>
      <c r="C93" s="9"/>
      <c r="D93" s="5"/>
      <c r="E93" s="5"/>
      <c r="F93" s="15"/>
      <c r="G93" s="5"/>
      <c r="H93" s="15"/>
    </row>
    <row r="94" spans="2:11" x14ac:dyDescent="0.25">
      <c r="B94" s="201" t="s">
        <v>177</v>
      </c>
      <c r="C94" s="201"/>
      <c r="D94" s="201"/>
      <c r="E94" s="201"/>
      <c r="F94" s="201"/>
      <c r="G94" s="201"/>
    </row>
    <row r="95" spans="2:11" ht="63" customHeight="1" x14ac:dyDescent="0.25">
      <c r="B95" s="194" t="s">
        <v>29</v>
      </c>
      <c r="C95" s="194"/>
      <c r="D95" s="91" t="s">
        <v>30</v>
      </c>
      <c r="E95" s="91" t="s">
        <v>31</v>
      </c>
      <c r="F95" s="89" t="s">
        <v>82</v>
      </c>
      <c r="G95" s="89" t="s">
        <v>32</v>
      </c>
    </row>
    <row r="96" spans="2:11" x14ac:dyDescent="0.25">
      <c r="B96" s="181" t="s">
        <v>83</v>
      </c>
      <c r="C96" s="183"/>
      <c r="D96" s="88">
        <v>53904.480000000003</v>
      </c>
      <c r="E96" s="88">
        <v>35703.620000000003</v>
      </c>
      <c r="F96" s="88">
        <f>E96</f>
        <v>35703.620000000003</v>
      </c>
      <c r="G96" s="85">
        <f>25289.44-13476.12</f>
        <v>11813.319999999998</v>
      </c>
    </row>
    <row r="97" spans="2:8" x14ac:dyDescent="0.25">
      <c r="B97" s="181" t="s">
        <v>84</v>
      </c>
      <c r="C97" s="183"/>
      <c r="D97" s="88">
        <f>27662.13-481.79+7492.05-131.7+8553.07-145.61+14689.63</f>
        <v>57637.78</v>
      </c>
      <c r="E97" s="88">
        <f>27726.67+7632.53+8283.18+14580.56</f>
        <v>58222.939999999995</v>
      </c>
      <c r="F97" s="98">
        <f t="shared" ref="F97:F104" si="1">E97</f>
        <v>58222.939999999995</v>
      </c>
      <c r="G97" s="85">
        <f>14032.04+3623.59+3733.07-6821.85+51.1-1847.64+13.84-2109.3+15.8+2365.04-1226.88</f>
        <v>11828.810000000001</v>
      </c>
    </row>
    <row r="98" spans="2:8" ht="30" customHeight="1" x14ac:dyDescent="0.25">
      <c r="B98" s="174" t="s">
        <v>85</v>
      </c>
      <c r="C98" s="175"/>
      <c r="D98" s="88">
        <v>18876.96</v>
      </c>
      <c r="E98" s="88">
        <v>18916.95</v>
      </c>
      <c r="F98" s="98">
        <f t="shared" si="1"/>
        <v>18916.95</v>
      </c>
      <c r="G98" s="85">
        <f>9420.94-4719.24</f>
        <v>4701.7000000000007</v>
      </c>
    </row>
    <row r="99" spans="2:8" ht="30" customHeight="1" x14ac:dyDescent="0.25">
      <c r="B99" s="174" t="s">
        <v>86</v>
      </c>
      <c r="C99" s="175"/>
      <c r="D99" s="88">
        <v>4824.3599999999997</v>
      </c>
      <c r="E99" s="88">
        <v>4842.4399999999996</v>
      </c>
      <c r="F99" s="98">
        <f t="shared" si="1"/>
        <v>4842.4399999999996</v>
      </c>
      <c r="G99" s="85">
        <f>2221.54-1206.09</f>
        <v>1015.45</v>
      </c>
    </row>
    <row r="100" spans="2:8" x14ac:dyDescent="0.25">
      <c r="B100" s="174" t="s">
        <v>87</v>
      </c>
      <c r="C100" s="175"/>
      <c r="D100" s="88"/>
      <c r="E100" s="88"/>
      <c r="F100" s="98">
        <f t="shared" si="1"/>
        <v>0</v>
      </c>
      <c r="G100" s="85"/>
    </row>
    <row r="101" spans="2:8" x14ac:dyDescent="0.25">
      <c r="B101" s="174" t="s">
        <v>88</v>
      </c>
      <c r="C101" s="175"/>
      <c r="D101" s="88">
        <v>3355.88</v>
      </c>
      <c r="E101" s="88">
        <v>3363.61</v>
      </c>
      <c r="F101" s="98">
        <f t="shared" si="1"/>
        <v>3363.61</v>
      </c>
      <c r="G101" s="85">
        <f>1691.44-838.97</f>
        <v>852.47</v>
      </c>
    </row>
    <row r="102" spans="2:8" x14ac:dyDescent="0.25">
      <c r="B102" s="174" t="s">
        <v>150</v>
      </c>
      <c r="C102" s="175"/>
      <c r="D102" s="88">
        <v>13370</v>
      </c>
      <c r="E102" s="88">
        <f>14578.37+7.22</f>
        <v>14585.59</v>
      </c>
      <c r="F102" s="98">
        <f t="shared" si="1"/>
        <v>14585.59</v>
      </c>
      <c r="G102" s="85">
        <f>5415.21+474.54-3290</f>
        <v>2599.75</v>
      </c>
    </row>
    <row r="103" spans="2:8" x14ac:dyDescent="0.25">
      <c r="B103" s="174" t="s">
        <v>89</v>
      </c>
      <c r="C103" s="175"/>
      <c r="D103" s="88">
        <v>9899.92</v>
      </c>
      <c r="E103" s="88">
        <v>10005.19</v>
      </c>
      <c r="F103" s="98">
        <f t="shared" si="1"/>
        <v>10005.19</v>
      </c>
      <c r="G103" s="85">
        <f>5112.55-2474.98</f>
        <v>2637.57</v>
      </c>
    </row>
    <row r="104" spans="2:8" ht="30" x14ac:dyDescent="0.25">
      <c r="B104" s="86" t="s">
        <v>81</v>
      </c>
      <c r="C104" s="87"/>
      <c r="D104" s="88"/>
      <c r="E104" s="88">
        <f>0.69+4347.09+13.94</f>
        <v>4361.7199999999993</v>
      </c>
      <c r="F104" s="98">
        <f t="shared" si="1"/>
        <v>4361.7199999999993</v>
      </c>
      <c r="G104" s="85">
        <f>403.29+527.57+110.92</f>
        <v>1041.7800000000002</v>
      </c>
    </row>
    <row r="105" spans="2:8" ht="18.75" customHeight="1" x14ac:dyDescent="0.25">
      <c r="B105" s="202" t="s">
        <v>90</v>
      </c>
      <c r="C105" s="203"/>
      <c r="D105" s="90">
        <f>SUM(D96:D104)</f>
        <v>161869.38</v>
      </c>
      <c r="E105" s="90">
        <f>SUM(E96:E104)</f>
        <v>150002.06</v>
      </c>
      <c r="F105" s="88">
        <f>E105</f>
        <v>150002.06</v>
      </c>
      <c r="G105" s="90">
        <f>SUM(G96:G104)</f>
        <v>36490.85</v>
      </c>
    </row>
    <row r="106" spans="2:8" x14ac:dyDescent="0.25">
      <c r="B106" s="202" t="s">
        <v>91</v>
      </c>
      <c r="C106" s="203"/>
      <c r="D106" s="96">
        <f>D105+F117+E38+C140</f>
        <v>1938454</v>
      </c>
      <c r="E106" s="96">
        <f>E105+G117+F38+D140</f>
        <v>1801688.18</v>
      </c>
      <c r="F106" s="96">
        <f>E106</f>
        <v>1801688.18</v>
      </c>
      <c r="G106" s="96">
        <f>G38+G105+H117+F140</f>
        <v>371868.01</v>
      </c>
    </row>
    <row r="107" spans="2:8" x14ac:dyDescent="0.25">
      <c r="B107" s="16"/>
      <c r="C107" s="16"/>
      <c r="D107" s="16"/>
      <c r="E107" s="17"/>
      <c r="F107" s="17"/>
      <c r="G107" s="17"/>
      <c r="H107" s="17"/>
    </row>
    <row r="108" spans="2:8" x14ac:dyDescent="0.25">
      <c r="B108" s="204" t="s">
        <v>176</v>
      </c>
      <c r="C108" s="201"/>
      <c r="D108" s="201"/>
      <c r="E108" s="201"/>
      <c r="F108" s="201"/>
    </row>
    <row r="109" spans="2:8" ht="38.25" customHeight="1" x14ac:dyDescent="0.25">
      <c r="B109" s="194" t="s">
        <v>29</v>
      </c>
      <c r="C109" s="194" t="s">
        <v>93</v>
      </c>
      <c r="D109" s="194"/>
      <c r="E109" s="205" t="s">
        <v>94</v>
      </c>
      <c r="F109" s="194" t="s">
        <v>30</v>
      </c>
      <c r="G109" s="194" t="s">
        <v>31</v>
      </c>
      <c r="H109" s="195" t="s">
        <v>95</v>
      </c>
    </row>
    <row r="110" spans="2:8" ht="35.25" customHeight="1" x14ac:dyDescent="0.25">
      <c r="B110" s="194"/>
      <c r="C110" s="91" t="s">
        <v>96</v>
      </c>
      <c r="D110" s="19" t="s">
        <v>97</v>
      </c>
      <c r="E110" s="205"/>
      <c r="F110" s="194"/>
      <c r="G110" s="194"/>
      <c r="H110" s="195"/>
    </row>
    <row r="111" spans="2:8" x14ac:dyDescent="0.25">
      <c r="B111" s="10" t="s">
        <v>98</v>
      </c>
      <c r="C111" s="88">
        <v>1400.08</v>
      </c>
      <c r="D111" s="42">
        <v>1439.26</v>
      </c>
      <c r="E111" s="110">
        <f>F111/D111</f>
        <v>231.96657310006532</v>
      </c>
      <c r="F111" s="88">
        <f>-665.34+333860.21+665.34</f>
        <v>333860.21000000002</v>
      </c>
      <c r="G111" s="88">
        <f>1562.4+198894.07</f>
        <v>200456.47</v>
      </c>
      <c r="H111" s="88">
        <f>528.4+201402.2-132505.84</f>
        <v>69424.760000000009</v>
      </c>
    </row>
    <row r="112" spans="2:8" x14ac:dyDescent="0.25">
      <c r="B112" s="10" t="s">
        <v>147</v>
      </c>
      <c r="C112" s="88">
        <v>22.15</v>
      </c>
      <c r="D112" s="42">
        <v>26.44</v>
      </c>
      <c r="E112" s="110">
        <v>1657.64</v>
      </c>
      <c r="F112" s="88">
        <f>242450.52-3780.4+13216.98+3197.36+2366.48+538.25+41620.36-564.02</f>
        <v>299045.52999999997</v>
      </c>
      <c r="G112" s="88">
        <f>235907.89+18165.66+3320.65+40986.36</f>
        <v>298380.56</v>
      </c>
      <c r="H112" s="88">
        <f>133117.12+11130.52+1982.91+19233.13-59412.07+804.37-8306.81-341.62-1483.99-56.44-10613.88+81.71</f>
        <v>86134.949999999983</v>
      </c>
    </row>
    <row r="113" spans="2:8" x14ac:dyDescent="0.25">
      <c r="B113" s="10" t="s">
        <v>99</v>
      </c>
      <c r="C113" s="88">
        <v>18.43</v>
      </c>
      <c r="D113" s="42">
        <v>19.22</v>
      </c>
      <c r="E113" s="110">
        <v>2689</v>
      </c>
      <c r="F113" s="88">
        <f>5220.08+152.92+6.64+46558.78+70.37</f>
        <v>52008.79</v>
      </c>
      <c r="G113" s="88">
        <f>12907.5+51111.61+28.8</f>
        <v>64047.91</v>
      </c>
      <c r="H113" s="88">
        <f>2174.63+33304.24+2309.03-1097.98+387.16-10703.07-543.13</f>
        <v>25830.879999999994</v>
      </c>
    </row>
    <row r="114" spans="2:8" x14ac:dyDescent="0.25">
      <c r="B114" s="10" t="s">
        <v>100</v>
      </c>
      <c r="C114" s="88">
        <v>12.31</v>
      </c>
      <c r="D114" s="42">
        <v>12.84</v>
      </c>
      <c r="E114" s="110">
        <v>4229.3599999999997</v>
      </c>
      <c r="F114" s="88">
        <f>51315.76-172.85-62.48</f>
        <v>51080.43</v>
      </c>
      <c r="G114" s="88">
        <f>54698.75+55.97</f>
        <v>54754.720000000001</v>
      </c>
      <c r="H114" s="88">
        <f>34902.01-12304.63-322.69</f>
        <v>22274.690000000006</v>
      </c>
    </row>
    <row r="115" spans="2:8" x14ac:dyDescent="0.25">
      <c r="B115" s="10" t="s">
        <v>101</v>
      </c>
      <c r="C115" s="88" t="s">
        <v>145</v>
      </c>
      <c r="D115" s="42" t="s">
        <v>146</v>
      </c>
      <c r="E115" s="110">
        <v>83568.44</v>
      </c>
      <c r="F115" s="88">
        <f>24511.56+1028.93+157274.16-3461.81</f>
        <v>179352.84</v>
      </c>
      <c r="G115" s="88">
        <f>21639.78+156950.75</f>
        <v>178590.53</v>
      </c>
      <c r="H115" s="88">
        <f>10713.3+76108.16-6696.81-16.08-40015.11+56.82</f>
        <v>40150.280000000006</v>
      </c>
    </row>
    <row r="116" spans="2:8" x14ac:dyDescent="0.25">
      <c r="B116" s="10" t="s">
        <v>102</v>
      </c>
      <c r="C116" s="88">
        <v>2.2999999999999998</v>
      </c>
      <c r="D116" s="42">
        <v>2.39</v>
      </c>
      <c r="E116" s="110">
        <v>9285.3799999999992</v>
      </c>
      <c r="F116" s="88">
        <f>20145.41-420.51</f>
        <v>19724.900000000001</v>
      </c>
      <c r="G116" s="88">
        <v>19979.349999999999</v>
      </c>
      <c r="H116" s="88">
        <f>6921.14-5226.95+98.22</f>
        <v>1792.4100000000005</v>
      </c>
    </row>
    <row r="117" spans="2:8" x14ac:dyDescent="0.25">
      <c r="B117" s="11" t="s">
        <v>103</v>
      </c>
      <c r="C117" s="90"/>
      <c r="D117" s="42"/>
      <c r="E117" s="4"/>
      <c r="F117" s="90">
        <f>SUM(F111:F116)</f>
        <v>935072.70000000007</v>
      </c>
      <c r="G117" s="90">
        <f>SUM(G111:G116)</f>
        <v>816209.54</v>
      </c>
      <c r="H117" s="90">
        <f>SUM(H111:H116)</f>
        <v>245607.97</v>
      </c>
    </row>
    <row r="118" spans="2:8" x14ac:dyDescent="0.25">
      <c r="B118" s="16"/>
      <c r="C118" s="16"/>
      <c r="D118" s="16"/>
      <c r="E118" s="17"/>
      <c r="F118" s="17"/>
      <c r="G118" s="17"/>
      <c r="H118" s="17"/>
    </row>
    <row r="119" spans="2:8" x14ac:dyDescent="0.25">
      <c r="B119" s="16"/>
      <c r="C119" s="16" t="s">
        <v>244</v>
      </c>
      <c r="D119" s="16"/>
      <c r="E119" s="17"/>
      <c r="F119" s="17"/>
      <c r="G119" s="17"/>
      <c r="H119" s="17"/>
    </row>
    <row r="120" spans="2:8" x14ac:dyDescent="0.25">
      <c r="B120" s="137" t="s">
        <v>228</v>
      </c>
      <c r="C120" s="137" t="s">
        <v>229</v>
      </c>
      <c r="D120" s="137"/>
      <c r="E120" s="131" t="s">
        <v>230</v>
      </c>
      <c r="F120" s="17"/>
      <c r="G120" s="17"/>
      <c r="H120" s="17"/>
    </row>
    <row r="121" spans="2:8" x14ac:dyDescent="0.25">
      <c r="B121" s="133" t="s">
        <v>231</v>
      </c>
      <c r="C121" s="199">
        <v>5</v>
      </c>
      <c r="D121" s="200"/>
      <c r="E121" s="105">
        <v>100</v>
      </c>
      <c r="F121" s="17"/>
      <c r="G121" s="17"/>
      <c r="H121" s="17"/>
    </row>
    <row r="122" spans="2:8" x14ac:dyDescent="0.25">
      <c r="B122" s="133" t="s">
        <v>232</v>
      </c>
      <c r="C122" s="199">
        <v>1</v>
      </c>
      <c r="D122" s="200"/>
      <c r="E122" s="105">
        <v>100</v>
      </c>
      <c r="F122" s="17"/>
      <c r="G122" s="17"/>
      <c r="H122" s="17"/>
    </row>
    <row r="123" spans="2:8" x14ac:dyDescent="0.25">
      <c r="B123" s="133" t="s">
        <v>233</v>
      </c>
      <c r="C123" s="199"/>
      <c r="D123" s="200"/>
      <c r="E123" s="105"/>
      <c r="F123" s="17"/>
      <c r="G123" s="17"/>
      <c r="H123" s="17"/>
    </row>
    <row r="124" spans="2:8" x14ac:dyDescent="0.25">
      <c r="B124" s="133" t="s">
        <v>234</v>
      </c>
      <c r="C124" s="199">
        <v>1</v>
      </c>
      <c r="D124" s="200"/>
      <c r="E124" s="105">
        <v>100</v>
      </c>
      <c r="F124" s="17"/>
      <c r="G124" s="17"/>
      <c r="H124" s="17"/>
    </row>
    <row r="125" spans="2:8" x14ac:dyDescent="0.25">
      <c r="B125" s="133" t="s">
        <v>235</v>
      </c>
      <c r="C125" s="199">
        <v>1</v>
      </c>
      <c r="D125" s="200"/>
      <c r="E125" s="105">
        <v>100</v>
      </c>
      <c r="F125" s="17"/>
      <c r="G125" s="17"/>
      <c r="H125" s="17"/>
    </row>
    <row r="126" spans="2:8" x14ac:dyDescent="0.25">
      <c r="B126" s="133" t="s">
        <v>236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70</v>
      </c>
      <c r="C127" s="199">
        <v>3</v>
      </c>
      <c r="D127" s="200"/>
      <c r="E127" s="105">
        <v>100</v>
      </c>
      <c r="F127" s="17"/>
      <c r="G127" s="17"/>
      <c r="H127" s="17"/>
    </row>
    <row r="128" spans="2:8" x14ac:dyDescent="0.25">
      <c r="B128" s="133" t="s">
        <v>237</v>
      </c>
      <c r="C128" s="199"/>
      <c r="D128" s="200"/>
      <c r="E128" s="105"/>
      <c r="F128" s="17"/>
      <c r="G128" s="17"/>
      <c r="H128" s="17"/>
    </row>
    <row r="129" spans="2:8" x14ac:dyDescent="0.25">
      <c r="B129" s="133" t="s">
        <v>238</v>
      </c>
      <c r="C129" s="199">
        <v>1</v>
      </c>
      <c r="D129" s="200"/>
      <c r="E129" s="105">
        <v>100</v>
      </c>
      <c r="F129" s="17"/>
      <c r="G129" s="17"/>
      <c r="H129" s="17"/>
    </row>
    <row r="130" spans="2:8" x14ac:dyDescent="0.25">
      <c r="B130" s="133" t="s">
        <v>239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240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241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242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243</v>
      </c>
      <c r="C134" s="199"/>
      <c r="D134" s="200"/>
      <c r="E134" s="129"/>
      <c r="F134" s="17"/>
      <c r="G134" s="17"/>
      <c r="H134" s="17"/>
    </row>
    <row r="135" spans="2:8" x14ac:dyDescent="0.25">
      <c r="B135" s="139" t="s">
        <v>103</v>
      </c>
      <c r="C135" s="245">
        <f>SUM(C121:C134)</f>
        <v>12</v>
      </c>
      <c r="D135" s="246"/>
      <c r="E135" s="145">
        <v>100</v>
      </c>
      <c r="F135" s="9"/>
      <c r="G135" s="9"/>
      <c r="H135" s="17"/>
    </row>
    <row r="136" spans="2:8" x14ac:dyDescent="0.25">
      <c r="B136" s="12"/>
      <c r="C136" s="12"/>
      <c r="D136" s="9"/>
      <c r="E136" s="9"/>
      <c r="F136" s="9"/>
      <c r="G136" s="9"/>
    </row>
    <row r="137" spans="2:8" ht="44.25" customHeight="1" x14ac:dyDescent="0.25">
      <c r="B137" s="33"/>
      <c r="C137" s="90" t="s">
        <v>30</v>
      </c>
      <c r="D137" s="90" t="s">
        <v>31</v>
      </c>
      <c r="E137" s="89" t="s">
        <v>104</v>
      </c>
      <c r="F137" s="89" t="s">
        <v>32</v>
      </c>
    </row>
    <row r="138" spans="2:8" x14ac:dyDescent="0.25">
      <c r="B138" s="32" t="s">
        <v>105</v>
      </c>
      <c r="C138" s="88">
        <v>99034</v>
      </c>
      <c r="D138" s="88">
        <f>99992.36+69.41+4.58</f>
        <v>100066.35</v>
      </c>
      <c r="E138" s="88"/>
      <c r="F138" s="85">
        <f>47436.53+1179.51+50.55-24758.5</f>
        <v>23908.090000000004</v>
      </c>
    </row>
    <row r="139" spans="2:8" x14ac:dyDescent="0.25">
      <c r="B139" s="32" t="s">
        <v>106</v>
      </c>
      <c r="C139" s="88">
        <v>5017.96</v>
      </c>
      <c r="D139" s="88">
        <v>5672.82</v>
      </c>
      <c r="E139" s="98"/>
      <c r="F139" s="85">
        <f>3956.85-1254.49</f>
        <v>2702.3599999999997</v>
      </c>
    </row>
    <row r="140" spans="2:8" ht="28.5" x14ac:dyDescent="0.25">
      <c r="B140" s="33" t="s">
        <v>178</v>
      </c>
      <c r="C140" s="90">
        <f>SUM(C138:C139)</f>
        <v>104051.96</v>
      </c>
      <c r="D140" s="90">
        <f>SUM(D138:D139)</f>
        <v>105739.17000000001</v>
      </c>
      <c r="E140" s="90"/>
      <c r="F140" s="90">
        <f>SUM(F138:F139)</f>
        <v>26610.450000000004</v>
      </c>
    </row>
    <row r="142" spans="2:8" x14ac:dyDescent="0.25">
      <c r="B142" s="177" t="s">
        <v>108</v>
      </c>
      <c r="C142" s="178"/>
      <c r="D142" s="179"/>
      <c r="E142" s="196">
        <f>G106</f>
        <v>371868.01</v>
      </c>
      <c r="F142" s="197"/>
    </row>
    <row r="144" spans="2:8" x14ac:dyDescent="0.25">
      <c r="B144" s="198" t="s">
        <v>109</v>
      </c>
      <c r="C144" s="198"/>
      <c r="D144" s="198"/>
      <c r="E144" s="193"/>
      <c r="F144" s="193"/>
    </row>
    <row r="145" spans="2:8" x14ac:dyDescent="0.25">
      <c r="B145" s="192" t="s">
        <v>110</v>
      </c>
      <c r="C145" s="192"/>
      <c r="D145" s="192"/>
      <c r="E145" s="193"/>
      <c r="F145" s="193"/>
    </row>
    <row r="146" spans="2:8" x14ac:dyDescent="0.25">
      <c r="B146" s="192" t="s">
        <v>111</v>
      </c>
      <c r="C146" s="192"/>
      <c r="D146" s="192"/>
      <c r="E146" s="193"/>
      <c r="F146" s="193"/>
    </row>
    <row r="147" spans="2:8" x14ac:dyDescent="0.25">
      <c r="B147" s="192" t="s">
        <v>112</v>
      </c>
      <c r="C147" s="192"/>
      <c r="D147" s="192"/>
      <c r="E147" s="193"/>
      <c r="F147" s="193"/>
    </row>
    <row r="148" spans="2:8" x14ac:dyDescent="0.25">
      <c r="B148" s="192" t="s">
        <v>113</v>
      </c>
      <c r="C148" s="192"/>
      <c r="D148" s="192"/>
      <c r="E148" s="193"/>
      <c r="F148" s="193"/>
    </row>
    <row r="150" spans="2:8" x14ac:dyDescent="0.25">
      <c r="B150" s="177" t="s">
        <v>114</v>
      </c>
      <c r="C150" s="178"/>
      <c r="D150" s="179"/>
      <c r="E150" s="193"/>
      <c r="F150" s="193"/>
    </row>
    <row r="152" spans="2:8" hidden="1" x14ac:dyDescent="0.25">
      <c r="B152" s="181" t="s">
        <v>123</v>
      </c>
      <c r="C152" s="183"/>
      <c r="D152" s="88" t="s">
        <v>124</v>
      </c>
      <c r="E152" s="176" t="s">
        <v>122</v>
      </c>
      <c r="F152" s="176"/>
    </row>
    <row r="153" spans="2:8" hidden="1" x14ac:dyDescent="0.25">
      <c r="B153" s="181" t="s">
        <v>125</v>
      </c>
      <c r="C153" s="183"/>
      <c r="D153" s="88" t="s">
        <v>126</v>
      </c>
      <c r="E153" s="176" t="s">
        <v>122</v>
      </c>
      <c r="F153" s="176"/>
    </row>
    <row r="154" spans="2:8" ht="30" hidden="1" customHeight="1" x14ac:dyDescent="0.25">
      <c r="B154" s="174" t="s">
        <v>127</v>
      </c>
      <c r="C154" s="175"/>
      <c r="D154" s="88" t="s">
        <v>128</v>
      </c>
      <c r="E154" s="176" t="s">
        <v>122</v>
      </c>
      <c r="F154" s="176"/>
    </row>
    <row r="155" spans="2:8" ht="30" hidden="1" customHeight="1" x14ac:dyDescent="0.25">
      <c r="B155" s="174" t="s">
        <v>129</v>
      </c>
      <c r="C155" s="175"/>
      <c r="D155" s="88" t="s">
        <v>130</v>
      </c>
      <c r="E155" s="176"/>
      <c r="F155" s="176"/>
    </row>
    <row r="156" spans="2:8" ht="30" hidden="1" x14ac:dyDescent="0.25">
      <c r="B156" s="174" t="s">
        <v>131</v>
      </c>
      <c r="C156" s="175"/>
      <c r="D156" s="24" t="s">
        <v>132</v>
      </c>
      <c r="E156" s="176" t="s">
        <v>133</v>
      </c>
      <c r="F156" s="176"/>
    </row>
    <row r="157" spans="2:8" hidden="1" x14ac:dyDescent="0.25">
      <c r="B157" s="181" t="s">
        <v>134</v>
      </c>
      <c r="C157" s="183"/>
      <c r="D157" s="10" t="s">
        <v>135</v>
      </c>
      <c r="E157" s="176"/>
      <c r="F157" s="176"/>
    </row>
    <row r="158" spans="2:8" ht="30" hidden="1" customHeight="1" x14ac:dyDescent="0.25">
      <c r="B158" s="174" t="s">
        <v>136</v>
      </c>
      <c r="C158" s="175"/>
      <c r="D158" s="10" t="s">
        <v>137</v>
      </c>
      <c r="E158" s="176"/>
      <c r="F158" s="176"/>
    </row>
    <row r="159" spans="2:8" ht="30" hidden="1" customHeight="1" x14ac:dyDescent="0.25">
      <c r="B159" s="174" t="s">
        <v>138</v>
      </c>
      <c r="C159" s="175"/>
      <c r="D159" s="88" t="s">
        <v>139</v>
      </c>
      <c r="E159" s="176"/>
      <c r="F159" s="176"/>
    </row>
    <row r="160" spans="2:8" x14ac:dyDescent="0.25">
      <c r="B160" s="177" t="s">
        <v>74</v>
      </c>
      <c r="C160" s="178"/>
      <c r="D160" s="179"/>
      <c r="E160" s="180">
        <v>1200</v>
      </c>
      <c r="F160" s="180"/>
      <c r="G160" s="25"/>
      <c r="H160" s="25"/>
    </row>
    <row r="161" spans="2:8" x14ac:dyDescent="0.25">
      <c r="B161" s="181" t="s">
        <v>75</v>
      </c>
      <c r="C161" s="182"/>
      <c r="D161" s="183"/>
      <c r="E161" s="176"/>
      <c r="F161" s="176"/>
      <c r="G161" s="26"/>
      <c r="H161" s="26"/>
    </row>
    <row r="162" spans="2:8" x14ac:dyDescent="0.25">
      <c r="B162" s="181" t="s">
        <v>76</v>
      </c>
      <c r="C162" s="182"/>
      <c r="D162" s="183"/>
      <c r="E162" s="184"/>
      <c r="F162" s="184"/>
      <c r="G162" s="27"/>
      <c r="H162" s="27"/>
    </row>
    <row r="163" spans="2:8" x14ac:dyDescent="0.25">
      <c r="B163" s="181" t="s">
        <v>77</v>
      </c>
      <c r="C163" s="182"/>
      <c r="D163" s="183"/>
      <c r="E163" s="184"/>
      <c r="F163" s="184"/>
      <c r="G163" s="27"/>
      <c r="H163" s="27"/>
    </row>
    <row r="164" spans="2:8" x14ac:dyDescent="0.25">
      <c r="B164" s="177" t="s">
        <v>78</v>
      </c>
      <c r="C164" s="178"/>
      <c r="D164" s="179"/>
      <c r="E164" s="180"/>
      <c r="F164" s="180"/>
      <c r="G164" s="25"/>
      <c r="H164" s="25"/>
    </row>
    <row r="165" spans="2:8" x14ac:dyDescent="0.25">
      <c r="B165" s="181" t="s">
        <v>79</v>
      </c>
      <c r="C165" s="182"/>
      <c r="D165" s="183"/>
      <c r="E165" s="184"/>
      <c r="F165" s="184"/>
      <c r="G165" s="27"/>
      <c r="H165" s="27"/>
    </row>
    <row r="166" spans="2:8" x14ac:dyDescent="0.25">
      <c r="B166" s="177" t="s">
        <v>80</v>
      </c>
      <c r="C166" s="178"/>
      <c r="D166" s="179"/>
      <c r="E166" s="184"/>
      <c r="F166" s="184"/>
      <c r="G166" s="27"/>
      <c r="H166" s="27"/>
    </row>
    <row r="167" spans="2:8" x14ac:dyDescent="0.25">
      <c r="B167" s="16"/>
      <c r="C167" s="16"/>
      <c r="D167" s="16"/>
      <c r="E167" s="17"/>
      <c r="F167" s="17"/>
      <c r="G167" s="17"/>
      <c r="H167" s="17"/>
    </row>
    <row r="168" spans="2:8" ht="36" customHeight="1" x14ac:dyDescent="0.25">
      <c r="B168" s="185" t="s">
        <v>115</v>
      </c>
      <c r="C168" s="186"/>
      <c r="D168" s="186"/>
      <c r="E168" s="186"/>
      <c r="F168" s="21" t="s">
        <v>116</v>
      </c>
    </row>
    <row r="169" spans="2:8" ht="14.45" customHeight="1" x14ac:dyDescent="0.25">
      <c r="B169" s="187" t="s">
        <v>117</v>
      </c>
      <c r="C169" s="188" t="s">
        <v>118</v>
      </c>
      <c r="D169" s="190" t="s">
        <v>119</v>
      </c>
      <c r="E169" s="191"/>
      <c r="F169" s="4"/>
    </row>
    <row r="170" spans="2:8" x14ac:dyDescent="0.25">
      <c r="B170" s="187"/>
      <c r="C170" s="189"/>
      <c r="D170" s="83" t="s">
        <v>120</v>
      </c>
      <c r="E170" s="83" t="s">
        <v>121</v>
      </c>
      <c r="F170" s="4"/>
    </row>
    <row r="171" spans="2:8" x14ac:dyDescent="0.25">
      <c r="B171" s="115"/>
      <c r="C171" s="124"/>
      <c r="D171" s="115"/>
      <c r="E171" s="115"/>
      <c r="F171" s="4"/>
    </row>
    <row r="172" spans="2:8" x14ac:dyDescent="0.25">
      <c r="B172" s="115"/>
      <c r="C172" s="115"/>
      <c r="D172" s="115"/>
      <c r="E172" s="115"/>
      <c r="F172" s="4"/>
    </row>
    <row r="173" spans="2:8" x14ac:dyDescent="0.25">
      <c r="B173" s="120"/>
      <c r="C173" s="120"/>
      <c r="D173" s="121"/>
      <c r="E173" s="121"/>
      <c r="F173" s="121"/>
      <c r="G173" s="121"/>
    </row>
    <row r="174" spans="2:8" x14ac:dyDescent="0.25">
      <c r="B174" s="120" t="s">
        <v>247</v>
      </c>
      <c r="C174" s="120"/>
      <c r="D174" s="121" t="s">
        <v>248</v>
      </c>
      <c r="E174" s="121"/>
      <c r="F174" s="121"/>
      <c r="G174" s="121"/>
    </row>
  </sheetData>
  <mergeCells count="182">
    <mergeCell ref="B67:C67"/>
    <mergeCell ref="B68:C68"/>
    <mergeCell ref="B69:C69"/>
    <mergeCell ref="B70:C70"/>
    <mergeCell ref="B71:C71"/>
    <mergeCell ref="B72:C72"/>
    <mergeCell ref="B165:D165"/>
    <mergeCell ref="E165:F165"/>
    <mergeCell ref="B166:D166"/>
    <mergeCell ref="E166:F166"/>
    <mergeCell ref="B159:C159"/>
    <mergeCell ref="E159:F159"/>
    <mergeCell ref="B160:D160"/>
    <mergeCell ref="E160:F160"/>
    <mergeCell ref="B161:D161"/>
    <mergeCell ref="E161:F161"/>
    <mergeCell ref="B156:C156"/>
    <mergeCell ref="E156:F156"/>
    <mergeCell ref="B157:C157"/>
    <mergeCell ref="E157:F157"/>
    <mergeCell ref="B158:C158"/>
    <mergeCell ref="E158:F158"/>
    <mergeCell ref="B153:C153"/>
    <mergeCell ref="E153:F153"/>
    <mergeCell ref="B168:E168"/>
    <mergeCell ref="B169:B170"/>
    <mergeCell ref="C169:C170"/>
    <mergeCell ref="D169:E169"/>
    <mergeCell ref="B162:D162"/>
    <mergeCell ref="E162:F162"/>
    <mergeCell ref="B163:D163"/>
    <mergeCell ref="E163:F163"/>
    <mergeCell ref="B164:D164"/>
    <mergeCell ref="E164:F164"/>
    <mergeCell ref="B154:C154"/>
    <mergeCell ref="E154:F154"/>
    <mergeCell ref="B155:C155"/>
    <mergeCell ref="E155:F155"/>
    <mergeCell ref="B148:D148"/>
    <mergeCell ref="E148:F148"/>
    <mergeCell ref="B150:D150"/>
    <mergeCell ref="E150:F150"/>
    <mergeCell ref="B152:C152"/>
    <mergeCell ref="E152:F152"/>
    <mergeCell ref="B145:D145"/>
    <mergeCell ref="E145:F145"/>
    <mergeCell ref="B146:D146"/>
    <mergeCell ref="E146:F146"/>
    <mergeCell ref="B147:D147"/>
    <mergeCell ref="E147:F147"/>
    <mergeCell ref="G109:G110"/>
    <mergeCell ref="H109:H110"/>
    <mergeCell ref="B142:D142"/>
    <mergeCell ref="E142:F142"/>
    <mergeCell ref="B144:D144"/>
    <mergeCell ref="E144:F144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B102:C102"/>
    <mergeCell ref="B103:C103"/>
    <mergeCell ref="B105:C105"/>
    <mergeCell ref="B106:C106"/>
    <mergeCell ref="B108:F108"/>
    <mergeCell ref="B109:B110"/>
    <mergeCell ref="C109:D109"/>
    <mergeCell ref="E109:E110"/>
    <mergeCell ref="F109:F110"/>
    <mergeCell ref="B96:C96"/>
    <mergeCell ref="B97:C97"/>
    <mergeCell ref="B98:C98"/>
    <mergeCell ref="B99:C99"/>
    <mergeCell ref="B100:C100"/>
    <mergeCell ref="B101:C101"/>
    <mergeCell ref="B94:G94"/>
    <mergeCell ref="B95:C95"/>
    <mergeCell ref="B92:C92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50:C50"/>
    <mergeCell ref="B51:C51"/>
    <mergeCell ref="B52:C52"/>
    <mergeCell ref="B53:C53"/>
    <mergeCell ref="B54:C54"/>
    <mergeCell ref="B73:C73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C133:D133"/>
    <mergeCell ref="C134:D134"/>
    <mergeCell ref="C135:D135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1" max="7" man="1"/>
    <brk id="11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4"/>
  <sheetViews>
    <sheetView view="pageBreakPreview" topLeftCell="A2" zoomScale="70" zoomScaleSheetLayoutView="70" workbookViewId="0">
      <selection activeCell="B28" sqref="B28:G28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201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202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2560.3000000000002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2560.3000000000002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0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2560.3000000000002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170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60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4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139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29052.78</v>
      </c>
      <c r="E22" s="7">
        <v>29052.78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977271.35000000009</v>
      </c>
      <c r="E23" s="45">
        <f>E38+D95+C139</f>
        <v>401852.98000000004</v>
      </c>
      <c r="F23" s="7">
        <f>D96+D97+D98+D99+D100+D101+D102+D103</f>
        <v>55131.5</v>
      </c>
      <c r="G23" s="7">
        <f>F110+F111+F112+F113+F114+F115</f>
        <v>520286.87</v>
      </c>
      <c r="H23" s="2"/>
    </row>
    <row r="24" spans="1:8" x14ac:dyDescent="0.25">
      <c r="B24" s="223" t="s">
        <v>24</v>
      </c>
      <c r="C24" s="224"/>
      <c r="D24" s="43">
        <f>E24+F24+G24</f>
        <v>968472.73</v>
      </c>
      <c r="E24" s="45">
        <f>F38+E95+D137+D138</f>
        <v>404212.74</v>
      </c>
      <c r="F24" s="7">
        <f>E96+E97+E99+E100+E103+E98+E101+E102</f>
        <v>60060.729999999996</v>
      </c>
      <c r="G24" s="7">
        <f>G116</f>
        <v>504199.26</v>
      </c>
      <c r="H24" s="2"/>
    </row>
    <row r="25" spans="1:8" x14ac:dyDescent="0.25">
      <c r="B25" s="223" t="s">
        <v>25</v>
      </c>
      <c r="C25" s="224"/>
      <c r="D25" s="7">
        <f>E25+F25+G25</f>
        <v>934127.28</v>
      </c>
      <c r="E25" s="7">
        <f>D139+314922.5</f>
        <v>369867.29</v>
      </c>
      <c r="F25" s="7">
        <f>F24</f>
        <v>60060.729999999996</v>
      </c>
      <c r="G25" s="7">
        <f>G24</f>
        <v>504199.26</v>
      </c>
      <c r="H25" s="2"/>
    </row>
    <row r="26" spans="1:8" x14ac:dyDescent="0.25">
      <c r="B26" s="223" t="s">
        <v>249</v>
      </c>
      <c r="C26" s="224"/>
      <c r="D26" s="43">
        <f>E26+F26+G26+3</f>
        <v>164815.31</v>
      </c>
      <c r="E26" s="45">
        <f>G38+G95+F139</f>
        <v>36337.56</v>
      </c>
      <c r="F26" s="45">
        <f>G104-G95</f>
        <v>8952.5299999999952</v>
      </c>
      <c r="G26" s="45">
        <f>H116</f>
        <v>119522.21999999999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47314.38</v>
      </c>
      <c r="F31" s="40">
        <v>47812.53</v>
      </c>
      <c r="G31" s="88">
        <f>7152.38-4173.22</f>
        <v>2979.16</v>
      </c>
      <c r="H31" s="5"/>
    </row>
    <row r="32" spans="1:8" x14ac:dyDescent="0.25">
      <c r="B32" s="174" t="s">
        <v>34</v>
      </c>
      <c r="C32" s="212"/>
      <c r="D32" s="175"/>
      <c r="E32" s="88">
        <v>62676.3</v>
      </c>
      <c r="F32" s="40">
        <v>63701.35</v>
      </c>
      <c r="G32" s="88">
        <f>9435.4-5427.86</f>
        <v>4007.54</v>
      </c>
      <c r="H32" s="5"/>
    </row>
    <row r="33" spans="2:8" x14ac:dyDescent="0.25">
      <c r="B33" s="174" t="s">
        <v>35</v>
      </c>
      <c r="C33" s="212"/>
      <c r="D33" s="175"/>
      <c r="E33" s="88">
        <v>0</v>
      </c>
      <c r="F33" s="40">
        <v>0</v>
      </c>
      <c r="G33" s="88">
        <v>0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89866.98</v>
      </c>
      <c r="F35" s="40">
        <v>91300.94</v>
      </c>
      <c r="G35" s="88">
        <f>13549.21-7808.99</f>
        <v>5740.2199999999993</v>
      </c>
      <c r="H35" s="5"/>
    </row>
    <row r="36" spans="2:8" x14ac:dyDescent="0.25">
      <c r="B36" s="174" t="s">
        <v>38</v>
      </c>
      <c r="C36" s="212"/>
      <c r="D36" s="175"/>
      <c r="E36" s="88">
        <v>63188.72</v>
      </c>
      <c r="F36" s="40">
        <f>64038.93+871.86</f>
        <v>64910.79</v>
      </c>
      <c r="G36" s="88">
        <f>8755.5+860.03+695.61-6554.37</f>
        <v>3756.7700000000013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61447.199999999997</v>
      </c>
      <c r="F37" s="40">
        <f>62092.4+543.63</f>
        <v>62636.03</v>
      </c>
      <c r="G37" s="88">
        <f>8829.56+402.41-5274.22</f>
        <v>3957.7499999999991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324493.58</v>
      </c>
      <c r="F38" s="41">
        <f>SUM(F31:F37)</f>
        <v>330361.64</v>
      </c>
      <c r="G38" s="41">
        <f>SUM(G31:G37)</f>
        <v>20441.439999999999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</f>
        <v>109990.68</v>
      </c>
      <c r="G44" s="123"/>
      <c r="H44" s="123">
        <f t="shared" ref="H44" si="0">H45+H46</f>
        <v>139104.31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47314.38</v>
      </c>
      <c r="G45" s="112"/>
      <c r="H45" s="105">
        <f>63722.5-6335.2</f>
        <v>57387.3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62676.3</v>
      </c>
      <c r="G46" s="112"/>
      <c r="H46" s="105">
        <f>90256.9-8539.89</f>
        <v>81717.009999999995</v>
      </c>
    </row>
    <row r="47" spans="2:8" x14ac:dyDescent="0.25">
      <c r="B47" s="174" t="s">
        <v>35</v>
      </c>
      <c r="C47" s="175"/>
      <c r="D47" s="88">
        <v>2014</v>
      </c>
      <c r="E47" s="10"/>
      <c r="F47" s="105"/>
      <c r="G47" s="112"/>
      <c r="H47" s="105"/>
    </row>
    <row r="48" spans="2:8" hidden="1" x14ac:dyDescent="0.25">
      <c r="B48" s="174" t="s">
        <v>36</v>
      </c>
      <c r="C48" s="175"/>
      <c r="D48" s="88"/>
      <c r="E48" s="10"/>
      <c r="F48" s="105"/>
      <c r="G48" s="112"/>
      <c r="H48" s="105"/>
    </row>
    <row r="49" spans="2:8" x14ac:dyDescent="0.25">
      <c r="B49" s="202" t="s">
        <v>65</v>
      </c>
      <c r="C49" s="203"/>
      <c r="D49" s="88"/>
      <c r="E49" s="10"/>
      <c r="F49" s="113"/>
      <c r="G49" s="112"/>
      <c r="H49" s="113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444</v>
      </c>
      <c r="F51" s="151">
        <f>6155.54</f>
        <v>6155.54</v>
      </c>
      <c r="G51" s="150" t="s">
        <v>444</v>
      </c>
      <c r="H51" s="151">
        <f>6155.54</f>
        <v>6155.54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1563</v>
      </c>
      <c r="G52" s="149" t="s">
        <v>267</v>
      </c>
      <c r="H52" s="152">
        <v>1694.59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693+2352.38</f>
        <v>3045.38</v>
      </c>
      <c r="G53" s="149" t="s">
        <v>267</v>
      </c>
      <c r="H53" s="152">
        <f>583.91+2262.2</f>
        <v>2846.1099999999997</v>
      </c>
    </row>
    <row r="54" spans="2:8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x14ac:dyDescent="0.25">
      <c r="B59" s="241" t="s">
        <v>445</v>
      </c>
      <c r="C59" s="242"/>
      <c r="D59" s="108" t="s">
        <v>272</v>
      </c>
      <c r="E59" s="150"/>
      <c r="F59" s="160"/>
      <c r="G59" s="159" t="s">
        <v>446</v>
      </c>
      <c r="H59" s="158">
        <v>6003</v>
      </c>
    </row>
    <row r="60" spans="2:8" x14ac:dyDescent="0.25">
      <c r="B60" s="208" t="s">
        <v>69</v>
      </c>
      <c r="C60" s="209"/>
      <c r="D60" s="108" t="s">
        <v>272</v>
      </c>
      <c r="E60" s="161"/>
      <c r="F60" s="152"/>
      <c r="G60" s="161"/>
      <c r="H60" s="152"/>
    </row>
    <row r="61" spans="2:8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x14ac:dyDescent="0.25">
      <c r="B64" s="208" t="s">
        <v>283</v>
      </c>
      <c r="C64" s="209"/>
      <c r="D64" s="150"/>
      <c r="E64" s="150"/>
      <c r="F64" s="151"/>
      <c r="G64" s="150"/>
      <c r="H64" s="151">
        <v>435.38</v>
      </c>
    </row>
    <row r="65" spans="2:8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8" ht="44.25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8" ht="44.2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8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8" ht="80.25" customHeight="1" x14ac:dyDescent="0.25">
      <c r="B69" s="208" t="s">
        <v>54</v>
      </c>
      <c r="C69" s="209"/>
      <c r="D69" s="150" t="s">
        <v>266</v>
      </c>
      <c r="E69" s="150" t="s">
        <v>271</v>
      </c>
      <c r="F69" s="151">
        <v>4602.4799999999996</v>
      </c>
      <c r="G69" s="150" t="s">
        <v>271</v>
      </c>
      <c r="H69" s="151">
        <v>4433.67</v>
      </c>
    </row>
    <row r="70" spans="2:8" x14ac:dyDescent="0.25">
      <c r="B70" s="208" t="s">
        <v>55</v>
      </c>
      <c r="C70" s="209"/>
      <c r="D70" s="108" t="s">
        <v>266</v>
      </c>
      <c r="E70" s="108" t="s">
        <v>447</v>
      </c>
      <c r="F70" s="152">
        <v>14476</v>
      </c>
      <c r="G70" s="108"/>
      <c r="H70" s="152"/>
    </row>
    <row r="71" spans="2:8" x14ac:dyDescent="0.25">
      <c r="B71" s="208" t="s">
        <v>56</v>
      </c>
      <c r="C71" s="209"/>
      <c r="D71" s="108" t="s">
        <v>266</v>
      </c>
      <c r="E71" s="108" t="s">
        <v>271</v>
      </c>
      <c r="F71" s="152">
        <v>10056</v>
      </c>
      <c r="G71" s="108" t="s">
        <v>271</v>
      </c>
      <c r="H71" s="152">
        <v>10056</v>
      </c>
    </row>
    <row r="72" spans="2:8" ht="16.5" customHeight="1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</row>
    <row r="73" spans="2:8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8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8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8" ht="50.25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8" ht="45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8" ht="72.75" customHeight="1" x14ac:dyDescent="0.25">
      <c r="B78" s="208" t="s">
        <v>62</v>
      </c>
      <c r="C78" s="209"/>
      <c r="D78" s="150" t="s">
        <v>266</v>
      </c>
      <c r="E78" s="150" t="s">
        <v>271</v>
      </c>
      <c r="F78" s="151">
        <f>4927.91+3477.43+2417.46</f>
        <v>10822.8</v>
      </c>
      <c r="G78" s="150" t="s">
        <v>271</v>
      </c>
      <c r="H78" s="151">
        <f>4974.4+3482.08+2437.45</f>
        <v>10893.93</v>
      </c>
    </row>
    <row r="79" spans="2:8" x14ac:dyDescent="0.25">
      <c r="B79" s="208" t="s">
        <v>290</v>
      </c>
      <c r="C79" s="209"/>
      <c r="D79" s="108" t="s">
        <v>291</v>
      </c>
      <c r="E79" s="161" t="s">
        <v>317</v>
      </c>
      <c r="F79" s="152">
        <f>2909.13+2464</f>
        <v>5373.13</v>
      </c>
      <c r="G79" s="108" t="s">
        <v>335</v>
      </c>
      <c r="H79" s="152">
        <f>2909.13+6513.29+4161.2</f>
        <v>13583.619999999999</v>
      </c>
    </row>
    <row r="80" spans="2:8" x14ac:dyDescent="0.25">
      <c r="B80" s="208" t="s">
        <v>282</v>
      </c>
      <c r="C80" s="209"/>
      <c r="D80" s="108"/>
      <c r="E80" s="108"/>
      <c r="F80" s="154"/>
      <c r="G80" s="108"/>
      <c r="H80" s="152"/>
    </row>
    <row r="81" spans="2:11" x14ac:dyDescent="0.25">
      <c r="B81" s="243" t="s">
        <v>63</v>
      </c>
      <c r="C81" s="244"/>
      <c r="D81" s="153"/>
      <c r="E81" s="108" t="s">
        <v>271</v>
      </c>
      <c r="F81" s="152">
        <v>9100.9699999999993</v>
      </c>
      <c r="G81" s="108" t="s">
        <v>271</v>
      </c>
      <c r="H81" s="152">
        <v>9100.9699999999993</v>
      </c>
    </row>
    <row r="82" spans="2:11" x14ac:dyDescent="0.25">
      <c r="B82" s="243" t="s">
        <v>64</v>
      </c>
      <c r="C82" s="244"/>
      <c r="D82" s="108"/>
      <c r="E82" s="108" t="s">
        <v>271</v>
      </c>
      <c r="F82" s="152">
        <v>7717.29</v>
      </c>
      <c r="G82" s="108" t="s">
        <v>271</v>
      </c>
      <c r="H82" s="152">
        <v>7546.5</v>
      </c>
    </row>
    <row r="83" spans="2:11" ht="21.75" customHeight="1" x14ac:dyDescent="0.25">
      <c r="B83" s="243" t="s">
        <v>294</v>
      </c>
      <c r="C83" s="244"/>
      <c r="D83" s="108"/>
      <c r="E83" s="108"/>
      <c r="F83" s="162"/>
      <c r="G83" s="163"/>
      <c r="H83" s="162"/>
    </row>
    <row r="84" spans="2:11" ht="19.5" customHeight="1" x14ac:dyDescent="0.25">
      <c r="B84" s="208" t="s">
        <v>295</v>
      </c>
      <c r="C84" s="209"/>
      <c r="D84" s="153" t="s">
        <v>296</v>
      </c>
      <c r="E84" s="108"/>
      <c r="F84" s="152"/>
      <c r="G84" s="108"/>
      <c r="H84" s="152"/>
    </row>
    <row r="85" spans="2:11" ht="24" customHeight="1" x14ac:dyDescent="0.25">
      <c r="B85" s="208" t="s">
        <v>71</v>
      </c>
      <c r="C85" s="209"/>
      <c r="D85" s="153" t="s">
        <v>297</v>
      </c>
      <c r="E85" s="108" t="s">
        <v>298</v>
      </c>
      <c r="F85" s="152">
        <v>2820</v>
      </c>
      <c r="G85" s="108" t="s">
        <v>298</v>
      </c>
      <c r="H85" s="152">
        <v>2683.53</v>
      </c>
    </row>
    <row r="86" spans="2:11" ht="21" customHeight="1" x14ac:dyDescent="0.25">
      <c r="B86" s="208" t="s">
        <v>72</v>
      </c>
      <c r="C86" s="209"/>
      <c r="D86" s="108" t="s">
        <v>299</v>
      </c>
      <c r="E86" s="108" t="s">
        <v>448</v>
      </c>
      <c r="F86" s="152">
        <v>1092.7</v>
      </c>
      <c r="G86" s="108" t="s">
        <v>448</v>
      </c>
      <c r="H86" s="152">
        <v>1092.7</v>
      </c>
    </row>
    <row r="87" spans="2:11" x14ac:dyDescent="0.25">
      <c r="B87" s="208" t="s">
        <v>301</v>
      </c>
      <c r="C87" s="209"/>
      <c r="D87" s="108" t="s">
        <v>291</v>
      </c>
      <c r="E87" s="108" t="s">
        <v>271</v>
      </c>
      <c r="F87" s="152">
        <v>8595.94</v>
      </c>
      <c r="G87" s="108" t="s">
        <v>271</v>
      </c>
      <c r="H87" s="161">
        <v>8595.94</v>
      </c>
    </row>
    <row r="88" spans="2:11" x14ac:dyDescent="0.25">
      <c r="B88" s="208" t="s">
        <v>282</v>
      </c>
      <c r="C88" s="209"/>
      <c r="D88" s="108"/>
      <c r="E88" s="108"/>
      <c r="F88" s="154"/>
      <c r="G88" s="108"/>
      <c r="H88" s="154"/>
    </row>
    <row r="89" spans="2:11" x14ac:dyDescent="0.25">
      <c r="B89" s="208" t="s">
        <v>302</v>
      </c>
      <c r="C89" s="209"/>
      <c r="D89" s="108" t="s">
        <v>291</v>
      </c>
      <c r="E89" s="108" t="s">
        <v>449</v>
      </c>
      <c r="F89" s="152">
        <v>3812.15</v>
      </c>
      <c r="G89" s="108" t="s">
        <v>449</v>
      </c>
      <c r="H89" s="152">
        <v>3136.04</v>
      </c>
    </row>
    <row r="90" spans="2:11" ht="40.5" customHeight="1" x14ac:dyDescent="0.25">
      <c r="B90" s="208" t="s">
        <v>320</v>
      </c>
      <c r="C90" s="209"/>
      <c r="D90" s="108"/>
      <c r="E90" s="108"/>
      <c r="F90" s="152">
        <v>44756.29</v>
      </c>
      <c r="G90" s="108"/>
      <c r="H90" s="152">
        <v>44756.29</v>
      </c>
      <c r="K90" s="5"/>
    </row>
    <row r="91" spans="2:11" x14ac:dyDescent="0.25">
      <c r="B91" s="206" t="s">
        <v>73</v>
      </c>
      <c r="C91" s="207"/>
      <c r="D91" s="108"/>
      <c r="E91" s="108"/>
      <c r="F91" s="165">
        <v>298000</v>
      </c>
      <c r="G91" s="165"/>
      <c r="H91" s="165">
        <f>314922.5-31670.4</f>
        <v>283252.09999999998</v>
      </c>
    </row>
    <row r="92" spans="2:11" x14ac:dyDescent="0.25">
      <c r="B92" s="9"/>
      <c r="C92" s="9"/>
      <c r="D92" s="5"/>
      <c r="E92" s="5"/>
      <c r="F92" s="15"/>
      <c r="G92" s="5"/>
      <c r="H92" s="15"/>
    </row>
    <row r="93" spans="2:11" x14ac:dyDescent="0.25">
      <c r="B93" s="201" t="s">
        <v>177</v>
      </c>
      <c r="C93" s="201"/>
      <c r="D93" s="201"/>
      <c r="E93" s="201"/>
      <c r="F93" s="201"/>
      <c r="G93" s="201"/>
    </row>
    <row r="94" spans="2:11" ht="63" customHeight="1" x14ac:dyDescent="0.25">
      <c r="B94" s="194" t="s">
        <v>29</v>
      </c>
      <c r="C94" s="194"/>
      <c r="D94" s="91" t="s">
        <v>30</v>
      </c>
      <c r="E94" s="91" t="s">
        <v>31</v>
      </c>
      <c r="F94" s="89" t="s">
        <v>82</v>
      </c>
      <c r="G94" s="89" t="s">
        <v>32</v>
      </c>
    </row>
    <row r="95" spans="2:11" x14ac:dyDescent="0.25">
      <c r="B95" s="181" t="s">
        <v>83</v>
      </c>
      <c r="C95" s="183"/>
      <c r="D95" s="88">
        <v>26320.2</v>
      </c>
      <c r="E95" s="88">
        <v>18906.310000000001</v>
      </c>
      <c r="F95" s="88">
        <f>E95</f>
        <v>18906.310000000001</v>
      </c>
      <c r="G95" s="85">
        <f>11556.71-6580.05</f>
        <v>4976.6599999999989</v>
      </c>
    </row>
    <row r="96" spans="2:11" x14ac:dyDescent="0.25">
      <c r="B96" s="181" t="s">
        <v>84</v>
      </c>
      <c r="C96" s="183"/>
      <c r="D96" s="88">
        <f>14563.5-43.68+3944.4-11.83+4503-13.51+7538.74</f>
        <v>30480.620000000003</v>
      </c>
      <c r="E96" s="88">
        <f>15132.31+4236.82+4622.08+7560.8</f>
        <v>31552.01</v>
      </c>
      <c r="F96" s="98">
        <f t="shared" ref="F96:F103" si="1">E96</f>
        <v>31552.01</v>
      </c>
      <c r="G96" s="85">
        <f>5858.69+1755.54+1636.28-3602.55-975.72-1113.9+467.72</f>
        <v>4026.0599999999995</v>
      </c>
    </row>
    <row r="97" spans="2:8" ht="30" customHeight="1" x14ac:dyDescent="0.25">
      <c r="B97" s="174" t="s">
        <v>85</v>
      </c>
      <c r="C97" s="175"/>
      <c r="D97" s="88">
        <v>9217.08</v>
      </c>
      <c r="E97" s="88">
        <v>9819.0499999999993</v>
      </c>
      <c r="F97" s="98">
        <f t="shared" si="1"/>
        <v>9819.0499999999993</v>
      </c>
      <c r="G97" s="85">
        <f>4070.11-2304.27</f>
        <v>1765.8400000000001</v>
      </c>
    </row>
    <row r="98" spans="2:8" ht="30" customHeight="1" x14ac:dyDescent="0.25">
      <c r="B98" s="174" t="s">
        <v>86</v>
      </c>
      <c r="C98" s="175"/>
      <c r="D98" s="88">
        <v>2355.1999999999998</v>
      </c>
      <c r="E98" s="88">
        <v>2517.1999999999998</v>
      </c>
      <c r="F98" s="98">
        <f t="shared" si="1"/>
        <v>2517.1999999999998</v>
      </c>
      <c r="G98" s="85">
        <f>1053.92-588.8</f>
        <v>465.12000000000012</v>
      </c>
    </row>
    <row r="99" spans="2:8" x14ac:dyDescent="0.25">
      <c r="B99" s="174" t="s">
        <v>87</v>
      </c>
      <c r="C99" s="175"/>
      <c r="D99" s="88"/>
      <c r="E99" s="88"/>
      <c r="F99" s="98"/>
      <c r="G99" s="85"/>
    </row>
    <row r="100" spans="2:8" x14ac:dyDescent="0.25">
      <c r="B100" s="174" t="s">
        <v>88</v>
      </c>
      <c r="C100" s="175"/>
      <c r="D100" s="88">
        <v>1638.6</v>
      </c>
      <c r="E100" s="88">
        <v>1741.5</v>
      </c>
      <c r="F100" s="98">
        <f t="shared" si="1"/>
        <v>1741.5</v>
      </c>
      <c r="G100" s="85">
        <f>720.3-409.65</f>
        <v>310.64999999999998</v>
      </c>
    </row>
    <row r="101" spans="2:8" x14ac:dyDescent="0.25">
      <c r="B101" s="174" t="s">
        <v>150</v>
      </c>
      <c r="C101" s="175"/>
      <c r="D101" s="88">
        <v>7140</v>
      </c>
      <c r="E101" s="88">
        <f>7576.63+7.76</f>
        <v>7584.39</v>
      </c>
      <c r="F101" s="98">
        <f t="shared" si="1"/>
        <v>7584.39</v>
      </c>
      <c r="G101" s="85">
        <f>2971.37+43.41-1750</f>
        <v>1264.7799999999997</v>
      </c>
    </row>
    <row r="102" spans="2:8" x14ac:dyDescent="0.25">
      <c r="B102" s="174" t="s">
        <v>89</v>
      </c>
      <c r="C102" s="175"/>
      <c r="D102" s="88">
        <v>4300</v>
      </c>
      <c r="E102" s="88">
        <v>4621.37</v>
      </c>
      <c r="F102" s="98">
        <f t="shared" si="1"/>
        <v>4621.37</v>
      </c>
      <c r="G102" s="85">
        <f>1593.62-1075</f>
        <v>518.61999999999989</v>
      </c>
    </row>
    <row r="103" spans="2:8" ht="30" x14ac:dyDescent="0.25">
      <c r="B103" s="86" t="s">
        <v>81</v>
      </c>
      <c r="C103" s="87"/>
      <c r="D103" s="88"/>
      <c r="E103" s="88">
        <f>2131.4+6.79+87.02</f>
        <v>2225.21</v>
      </c>
      <c r="F103" s="98">
        <f t="shared" si="1"/>
        <v>2225.21</v>
      </c>
      <c r="G103" s="85">
        <f>309.31+20.92+271.23</f>
        <v>601.46</v>
      </c>
    </row>
    <row r="104" spans="2:8" ht="18.75" customHeight="1" x14ac:dyDescent="0.25">
      <c r="B104" s="202" t="s">
        <v>90</v>
      </c>
      <c r="C104" s="203"/>
      <c r="D104" s="90">
        <f>SUM(D95:D103)</f>
        <v>81451.700000000012</v>
      </c>
      <c r="E104" s="90">
        <f>SUM(E95:E103)</f>
        <v>78967.039999999994</v>
      </c>
      <c r="F104" s="88">
        <f>E104</f>
        <v>78967.039999999994</v>
      </c>
      <c r="G104" s="90">
        <f>SUM(G95:G103)</f>
        <v>13929.189999999995</v>
      </c>
    </row>
    <row r="105" spans="2:8" x14ac:dyDescent="0.25">
      <c r="B105" s="202" t="s">
        <v>91</v>
      </c>
      <c r="C105" s="203"/>
      <c r="D105" s="96">
        <f>D104+F116+E38+C139</f>
        <v>977271.35000000009</v>
      </c>
      <c r="E105" s="96">
        <f>E104+G116+F38+D139</f>
        <v>968472.7300000001</v>
      </c>
      <c r="F105" s="96">
        <f>E105</f>
        <v>968472.7300000001</v>
      </c>
      <c r="G105" s="96">
        <f>G38+G104+H116+F139</f>
        <v>164812.30999999997</v>
      </c>
    </row>
    <row r="106" spans="2:8" x14ac:dyDescent="0.25">
      <c r="B106" s="16"/>
      <c r="C106" s="16"/>
      <c r="D106" s="16"/>
      <c r="E106" s="17"/>
      <c r="F106" s="17"/>
      <c r="G106" s="17"/>
      <c r="H106" s="17"/>
    </row>
    <row r="107" spans="2:8" x14ac:dyDescent="0.25">
      <c r="B107" s="204" t="s">
        <v>176</v>
      </c>
      <c r="C107" s="201"/>
      <c r="D107" s="201"/>
      <c r="E107" s="201"/>
      <c r="F107" s="201"/>
    </row>
    <row r="108" spans="2:8" ht="38.25" customHeight="1" x14ac:dyDescent="0.25">
      <c r="B108" s="194" t="s">
        <v>29</v>
      </c>
      <c r="C108" s="194" t="s">
        <v>93</v>
      </c>
      <c r="D108" s="194"/>
      <c r="E108" s="205" t="s">
        <v>94</v>
      </c>
      <c r="F108" s="194" t="s">
        <v>30</v>
      </c>
      <c r="G108" s="194" t="s">
        <v>31</v>
      </c>
      <c r="H108" s="195" t="s">
        <v>95</v>
      </c>
    </row>
    <row r="109" spans="2:8" ht="35.25" customHeight="1" x14ac:dyDescent="0.25">
      <c r="B109" s="194"/>
      <c r="C109" s="91" t="s">
        <v>96</v>
      </c>
      <c r="D109" s="19" t="s">
        <v>97</v>
      </c>
      <c r="E109" s="205"/>
      <c r="F109" s="194"/>
      <c r="G109" s="194"/>
      <c r="H109" s="195"/>
    </row>
    <row r="110" spans="2:8" x14ac:dyDescent="0.25">
      <c r="B110" s="10" t="s">
        <v>98</v>
      </c>
      <c r="C110" s="88">
        <v>1400.08</v>
      </c>
      <c r="D110" s="42">
        <v>1439.26</v>
      </c>
      <c r="E110" s="110">
        <f>F110/D110</f>
        <v>137.47339605074831</v>
      </c>
      <c r="F110" s="88">
        <f>-1181.15+197859.96+1181.15</f>
        <v>197859.96</v>
      </c>
      <c r="G110" s="88">
        <f>383.97+129928.83</f>
        <v>130312.8</v>
      </c>
      <c r="H110" s="88">
        <f>705.23+103333.05-75068.02</f>
        <v>28970.259999999995</v>
      </c>
    </row>
    <row r="111" spans="2:8" x14ac:dyDescent="0.25">
      <c r="B111" s="10" t="s">
        <v>147</v>
      </c>
      <c r="C111" s="88">
        <v>22.15</v>
      </c>
      <c r="D111" s="42">
        <v>26.44</v>
      </c>
      <c r="E111" s="110">
        <v>1130.6300000000001</v>
      </c>
      <c r="F111" s="88">
        <f>113819.45-10404.15+22560.74-214.16+4699.17-19.19+24178.2-1896.53</f>
        <v>152723.53</v>
      </c>
      <c r="G111" s="88">
        <f>117820.02+28126.82+5606.65+23526.04</f>
        <v>175079.53</v>
      </c>
      <c r="H111" s="88">
        <f>61006.88+7548.43+1689.18+12667.94-29743.36+606.23-4457.22-345.86-1044.93-82-6972.99+103.38</f>
        <v>40975.679999999993</v>
      </c>
    </row>
    <row r="112" spans="2:8" x14ac:dyDescent="0.25">
      <c r="B112" s="10" t="s">
        <v>99</v>
      </c>
      <c r="C112" s="88">
        <v>18.43</v>
      </c>
      <c r="D112" s="42">
        <v>19.22</v>
      </c>
      <c r="E112" s="110">
        <v>1731</v>
      </c>
      <c r="F112" s="88">
        <f>5296.23-163.48+27916.17-1563.18</f>
        <v>31485.739999999998</v>
      </c>
      <c r="G112" s="88">
        <f>6894.56+32797.41+2.8</f>
        <v>39694.770000000004</v>
      </c>
      <c r="H112" s="88">
        <f>1949.33+16320.2+2.21-1093.72-213-6190.69+232.29</f>
        <v>11006.619999999999</v>
      </c>
    </row>
    <row r="113" spans="2:8" x14ac:dyDescent="0.25">
      <c r="B113" s="10" t="s">
        <v>100</v>
      </c>
      <c r="C113" s="88">
        <v>12.31</v>
      </c>
      <c r="D113" s="42">
        <v>12.84</v>
      </c>
      <c r="E113" s="110">
        <v>2792.51</v>
      </c>
      <c r="F113" s="88">
        <f>30391.09-1853.48-198.85</f>
        <v>28338.760000000002</v>
      </c>
      <c r="G113" s="88">
        <f>33730.35+33.93</f>
        <v>33764.28</v>
      </c>
      <c r="H113" s="88">
        <f>17646.92-7521.99+207.82</f>
        <v>10332.749999999998</v>
      </c>
    </row>
    <row r="114" spans="2:8" x14ac:dyDescent="0.25">
      <c r="B114" s="10" t="s">
        <v>101</v>
      </c>
      <c r="C114" s="88" t="s">
        <v>145</v>
      </c>
      <c r="D114" s="42" t="s">
        <v>146</v>
      </c>
      <c r="E114" s="110">
        <v>42775.51</v>
      </c>
      <c r="F114" s="88">
        <f>17745.78-240.5+89726.21-6547.3</f>
        <v>100684.19</v>
      </c>
      <c r="G114" s="88">
        <f>26274.35+90554.35</f>
        <v>116828.70000000001</v>
      </c>
      <c r="H114" s="88">
        <f>-1561.16+54354.88-4585.08+427.65-23851.01-163.28</f>
        <v>24621.999999999996</v>
      </c>
    </row>
    <row r="115" spans="2:8" x14ac:dyDescent="0.25">
      <c r="B115" s="10" t="s">
        <v>102</v>
      </c>
      <c r="C115" s="88">
        <v>2.2999999999999998</v>
      </c>
      <c r="D115" s="42">
        <v>2.39</v>
      </c>
      <c r="E115" s="110">
        <v>4230.54</v>
      </c>
      <c r="F115" s="88">
        <f>8838.38+356.31</f>
        <v>9194.6899999999987</v>
      </c>
      <c r="G115" s="88">
        <v>8519.18</v>
      </c>
      <c r="H115" s="88">
        <f>6208.37-2362.9-230.56</f>
        <v>3614.91</v>
      </c>
    </row>
    <row r="116" spans="2:8" x14ac:dyDescent="0.25">
      <c r="B116" s="11" t="s">
        <v>103</v>
      </c>
      <c r="C116" s="90"/>
      <c r="D116" s="42"/>
      <c r="E116" s="4"/>
      <c r="F116" s="90">
        <f>SUM(F110:F115)</f>
        <v>520286.87</v>
      </c>
      <c r="G116" s="90">
        <f>SUM(G110:G115)</f>
        <v>504199.26</v>
      </c>
      <c r="H116" s="90">
        <f>SUM(H110:H115)</f>
        <v>119522.21999999999</v>
      </c>
    </row>
    <row r="117" spans="2:8" x14ac:dyDescent="0.25">
      <c r="B117" s="16"/>
      <c r="C117" s="16"/>
      <c r="D117" s="16"/>
      <c r="E117" s="17"/>
      <c r="F117" s="17"/>
      <c r="G117" s="17"/>
      <c r="H117" s="17"/>
    </row>
    <row r="118" spans="2:8" x14ac:dyDescent="0.25">
      <c r="B118" s="16"/>
      <c r="C118" s="16" t="s">
        <v>244</v>
      </c>
      <c r="D118" s="16"/>
      <c r="E118" s="17"/>
      <c r="F118" s="17"/>
      <c r="G118" s="17"/>
      <c r="H118" s="17"/>
    </row>
    <row r="119" spans="2:8" x14ac:dyDescent="0.25">
      <c r="B119" s="137" t="s">
        <v>228</v>
      </c>
      <c r="C119" s="137" t="s">
        <v>229</v>
      </c>
      <c r="D119" s="137"/>
      <c r="E119" s="131" t="s">
        <v>230</v>
      </c>
      <c r="F119" s="17"/>
      <c r="G119" s="17"/>
      <c r="H119" s="17"/>
    </row>
    <row r="120" spans="2:8" x14ac:dyDescent="0.25">
      <c r="B120" s="133" t="s">
        <v>231</v>
      </c>
      <c r="C120" s="199">
        <v>2</v>
      </c>
      <c r="D120" s="200"/>
      <c r="E120" s="105">
        <v>100</v>
      </c>
      <c r="F120" s="17"/>
      <c r="G120" s="17"/>
      <c r="H120" s="17"/>
    </row>
    <row r="121" spans="2:8" x14ac:dyDescent="0.25">
      <c r="B121" s="133" t="s">
        <v>232</v>
      </c>
      <c r="C121" s="199">
        <v>3</v>
      </c>
      <c r="D121" s="200"/>
      <c r="E121" s="105">
        <v>100</v>
      </c>
      <c r="F121" s="17"/>
      <c r="G121" s="17"/>
      <c r="H121" s="17"/>
    </row>
    <row r="122" spans="2:8" x14ac:dyDescent="0.25">
      <c r="B122" s="133" t="s">
        <v>233</v>
      </c>
      <c r="C122" s="199"/>
      <c r="D122" s="200"/>
      <c r="E122" s="129"/>
      <c r="F122" s="17"/>
      <c r="G122" s="17"/>
      <c r="H122" s="17"/>
    </row>
    <row r="123" spans="2:8" x14ac:dyDescent="0.25">
      <c r="B123" s="133" t="s">
        <v>234</v>
      </c>
      <c r="C123" s="199"/>
      <c r="D123" s="200"/>
      <c r="E123" s="129"/>
      <c r="F123" s="17"/>
      <c r="G123" s="17"/>
      <c r="H123" s="17"/>
    </row>
    <row r="124" spans="2:8" x14ac:dyDescent="0.25">
      <c r="B124" s="133" t="s">
        <v>235</v>
      </c>
      <c r="C124" s="199"/>
      <c r="D124" s="200"/>
      <c r="E124" s="129"/>
      <c r="F124" s="17"/>
      <c r="G124" s="17"/>
      <c r="H124" s="17"/>
    </row>
    <row r="125" spans="2:8" x14ac:dyDescent="0.25">
      <c r="B125" s="133" t="s">
        <v>236</v>
      </c>
      <c r="C125" s="199"/>
      <c r="D125" s="200"/>
      <c r="E125" s="129"/>
      <c r="F125" s="17"/>
      <c r="G125" s="17"/>
      <c r="H125" s="17"/>
    </row>
    <row r="126" spans="2:8" x14ac:dyDescent="0.25">
      <c r="B126" s="133" t="s">
        <v>70</v>
      </c>
      <c r="C126" s="199">
        <v>1</v>
      </c>
      <c r="D126" s="200"/>
      <c r="E126" s="129">
        <v>100</v>
      </c>
      <c r="F126" s="17"/>
      <c r="G126" s="17"/>
      <c r="H126" s="17"/>
    </row>
    <row r="127" spans="2:8" x14ac:dyDescent="0.25">
      <c r="B127" s="133" t="s">
        <v>237</v>
      </c>
      <c r="C127" s="199"/>
      <c r="D127" s="200"/>
      <c r="E127" s="129"/>
      <c r="F127" s="17"/>
      <c r="G127" s="17"/>
      <c r="H127" s="17"/>
    </row>
    <row r="128" spans="2:8" x14ac:dyDescent="0.25">
      <c r="B128" s="133" t="s">
        <v>238</v>
      </c>
      <c r="C128" s="199"/>
      <c r="D128" s="200"/>
      <c r="E128" s="129"/>
      <c r="F128" s="17"/>
      <c r="G128" s="17"/>
      <c r="H128" s="17"/>
    </row>
    <row r="129" spans="2:8" x14ac:dyDescent="0.25">
      <c r="B129" s="133" t="s">
        <v>239</v>
      </c>
      <c r="C129" s="199"/>
      <c r="D129" s="200"/>
      <c r="E129" s="129"/>
      <c r="F129" s="17"/>
      <c r="G129" s="17"/>
      <c r="H129" s="17"/>
    </row>
    <row r="130" spans="2:8" x14ac:dyDescent="0.25">
      <c r="B130" s="133" t="s">
        <v>240</v>
      </c>
      <c r="C130" s="199"/>
      <c r="D130" s="200"/>
      <c r="E130" s="129"/>
      <c r="F130" s="17"/>
      <c r="G130" s="17"/>
      <c r="H130" s="17"/>
    </row>
    <row r="131" spans="2:8" x14ac:dyDescent="0.25">
      <c r="B131" s="133" t="s">
        <v>241</v>
      </c>
      <c r="C131" s="199"/>
      <c r="D131" s="200"/>
      <c r="E131" s="129"/>
      <c r="F131" s="17"/>
      <c r="G131" s="17"/>
      <c r="H131" s="17"/>
    </row>
    <row r="132" spans="2:8" x14ac:dyDescent="0.25">
      <c r="B132" s="133" t="s">
        <v>242</v>
      </c>
      <c r="C132" s="199"/>
      <c r="D132" s="200"/>
      <c r="E132" s="129"/>
      <c r="F132" s="17"/>
      <c r="G132" s="17"/>
      <c r="H132" s="17"/>
    </row>
    <row r="133" spans="2:8" x14ac:dyDescent="0.25">
      <c r="B133" s="133" t="s">
        <v>243</v>
      </c>
      <c r="C133" s="199"/>
      <c r="D133" s="200"/>
      <c r="E133" s="129"/>
      <c r="F133" s="17"/>
      <c r="G133" s="17"/>
      <c r="H133" s="17"/>
    </row>
    <row r="134" spans="2:8" x14ac:dyDescent="0.25">
      <c r="B134" s="139" t="s">
        <v>103</v>
      </c>
      <c r="C134" s="245">
        <f>SUM(C120:C133)</f>
        <v>6</v>
      </c>
      <c r="D134" s="246"/>
      <c r="E134" s="145">
        <v>100</v>
      </c>
      <c r="F134" s="9"/>
      <c r="G134" s="9"/>
      <c r="H134" s="17"/>
    </row>
    <row r="135" spans="2:8" x14ac:dyDescent="0.25">
      <c r="B135" s="12"/>
      <c r="C135" s="12"/>
      <c r="D135" s="9"/>
      <c r="E135" s="9"/>
      <c r="F135" s="9"/>
      <c r="G135" s="9"/>
    </row>
    <row r="136" spans="2:8" ht="44.25" customHeight="1" x14ac:dyDescent="0.25">
      <c r="B136" s="33"/>
      <c r="C136" s="90" t="s">
        <v>30</v>
      </c>
      <c r="D136" s="90" t="s">
        <v>31</v>
      </c>
      <c r="E136" s="89" t="s">
        <v>104</v>
      </c>
      <c r="F136" s="89" t="s">
        <v>32</v>
      </c>
    </row>
    <row r="137" spans="2:8" x14ac:dyDescent="0.25">
      <c r="B137" s="32" t="s">
        <v>105</v>
      </c>
      <c r="C137" s="88">
        <v>50372</v>
      </c>
      <c r="D137" s="88">
        <f>53970.24+0.14+0.22</f>
        <v>53970.6</v>
      </c>
      <c r="E137" s="88"/>
      <c r="F137" s="85">
        <f>23047.17+0.07+0.13-12593</f>
        <v>10454.369999999999</v>
      </c>
    </row>
    <row r="138" spans="2:8" x14ac:dyDescent="0.25">
      <c r="B138" s="32" t="s">
        <v>106</v>
      </c>
      <c r="C138" s="88">
        <v>667.2</v>
      </c>
      <c r="D138" s="88">
        <v>974.19</v>
      </c>
      <c r="E138" s="98"/>
      <c r="F138" s="85">
        <f>631.89-166.8</f>
        <v>465.09</v>
      </c>
    </row>
    <row r="139" spans="2:8" ht="28.5" x14ac:dyDescent="0.25">
      <c r="B139" s="33" t="s">
        <v>178</v>
      </c>
      <c r="C139" s="90">
        <f>SUM(C137:C138)</f>
        <v>51039.199999999997</v>
      </c>
      <c r="D139" s="90">
        <f>SUM(D137:D138)</f>
        <v>54944.79</v>
      </c>
      <c r="E139" s="90"/>
      <c r="F139" s="90">
        <f>SUM(F137:F138)</f>
        <v>10919.46</v>
      </c>
    </row>
    <row r="141" spans="2:8" x14ac:dyDescent="0.25">
      <c r="B141" s="177" t="s">
        <v>108</v>
      </c>
      <c r="C141" s="178"/>
      <c r="D141" s="179"/>
      <c r="E141" s="196">
        <f>G105+3</f>
        <v>164815.30999999997</v>
      </c>
      <c r="F141" s="197"/>
    </row>
    <row r="143" spans="2:8" x14ac:dyDescent="0.25">
      <c r="B143" s="198" t="s">
        <v>109</v>
      </c>
      <c r="C143" s="198"/>
      <c r="D143" s="198"/>
      <c r="E143" s="193"/>
      <c r="F143" s="193"/>
    </row>
    <row r="144" spans="2:8" x14ac:dyDescent="0.25">
      <c r="B144" s="192" t="s">
        <v>110</v>
      </c>
      <c r="C144" s="192"/>
      <c r="D144" s="192"/>
      <c r="E144" s="193"/>
      <c r="F144" s="193"/>
    </row>
    <row r="145" spans="2:8" x14ac:dyDescent="0.25">
      <c r="B145" s="192" t="s">
        <v>111</v>
      </c>
      <c r="C145" s="192"/>
      <c r="D145" s="192"/>
      <c r="E145" s="193"/>
      <c r="F145" s="193"/>
    </row>
    <row r="146" spans="2:8" x14ac:dyDescent="0.25">
      <c r="B146" s="192" t="s">
        <v>112</v>
      </c>
      <c r="C146" s="192"/>
      <c r="D146" s="192"/>
      <c r="E146" s="193"/>
      <c r="F146" s="193"/>
    </row>
    <row r="147" spans="2:8" x14ac:dyDescent="0.25">
      <c r="B147" s="192" t="s">
        <v>113</v>
      </c>
      <c r="C147" s="192"/>
      <c r="D147" s="192"/>
      <c r="E147" s="193"/>
      <c r="F147" s="193"/>
    </row>
    <row r="149" spans="2:8" x14ac:dyDescent="0.25">
      <c r="B149" s="177" t="s">
        <v>114</v>
      </c>
      <c r="C149" s="178"/>
      <c r="D149" s="179"/>
      <c r="E149" s="193"/>
      <c r="F149" s="193"/>
    </row>
    <row r="151" spans="2:8" hidden="1" x14ac:dyDescent="0.25">
      <c r="B151" s="181" t="s">
        <v>123</v>
      </c>
      <c r="C151" s="183"/>
      <c r="D151" s="88" t="s">
        <v>124</v>
      </c>
      <c r="E151" s="176" t="s">
        <v>122</v>
      </c>
      <c r="F151" s="176"/>
    </row>
    <row r="152" spans="2:8" hidden="1" x14ac:dyDescent="0.25">
      <c r="B152" s="181" t="s">
        <v>125</v>
      </c>
      <c r="C152" s="183"/>
      <c r="D152" s="88" t="s">
        <v>126</v>
      </c>
      <c r="E152" s="176" t="s">
        <v>122</v>
      </c>
      <c r="F152" s="176"/>
    </row>
    <row r="153" spans="2:8" ht="30" hidden="1" customHeight="1" x14ac:dyDescent="0.25">
      <c r="B153" s="174" t="s">
        <v>127</v>
      </c>
      <c r="C153" s="175"/>
      <c r="D153" s="88" t="s">
        <v>128</v>
      </c>
      <c r="E153" s="176" t="s">
        <v>122</v>
      </c>
      <c r="F153" s="176"/>
    </row>
    <row r="154" spans="2:8" ht="30" hidden="1" customHeight="1" x14ac:dyDescent="0.25">
      <c r="B154" s="174" t="s">
        <v>129</v>
      </c>
      <c r="C154" s="175"/>
      <c r="D154" s="88" t="s">
        <v>130</v>
      </c>
      <c r="E154" s="176"/>
      <c r="F154" s="176"/>
    </row>
    <row r="155" spans="2:8" ht="30" hidden="1" x14ac:dyDescent="0.25">
      <c r="B155" s="174" t="s">
        <v>131</v>
      </c>
      <c r="C155" s="175"/>
      <c r="D155" s="24" t="s">
        <v>132</v>
      </c>
      <c r="E155" s="176" t="s">
        <v>133</v>
      </c>
      <c r="F155" s="176"/>
    </row>
    <row r="156" spans="2:8" hidden="1" x14ac:dyDescent="0.25">
      <c r="B156" s="181" t="s">
        <v>134</v>
      </c>
      <c r="C156" s="183"/>
      <c r="D156" s="10" t="s">
        <v>135</v>
      </c>
      <c r="E156" s="176"/>
      <c r="F156" s="176"/>
    </row>
    <row r="157" spans="2:8" ht="30" hidden="1" customHeight="1" x14ac:dyDescent="0.25">
      <c r="B157" s="174" t="s">
        <v>136</v>
      </c>
      <c r="C157" s="175"/>
      <c r="D157" s="10" t="s">
        <v>137</v>
      </c>
      <c r="E157" s="176"/>
      <c r="F157" s="176"/>
    </row>
    <row r="158" spans="2:8" ht="30" hidden="1" customHeight="1" x14ac:dyDescent="0.25">
      <c r="B158" s="174" t="s">
        <v>138</v>
      </c>
      <c r="C158" s="175"/>
      <c r="D158" s="88" t="s">
        <v>139</v>
      </c>
      <c r="E158" s="176"/>
      <c r="F158" s="176"/>
    </row>
    <row r="159" spans="2:8" x14ac:dyDescent="0.25">
      <c r="B159" s="177" t="s">
        <v>74</v>
      </c>
      <c r="C159" s="178"/>
      <c r="D159" s="179"/>
      <c r="E159" s="180">
        <v>1200</v>
      </c>
      <c r="F159" s="180"/>
      <c r="G159" s="25"/>
      <c r="H159" s="25"/>
    </row>
    <row r="160" spans="2:8" x14ac:dyDescent="0.25">
      <c r="B160" s="181" t="s">
        <v>75</v>
      </c>
      <c r="C160" s="182"/>
      <c r="D160" s="183"/>
      <c r="E160" s="176"/>
      <c r="F160" s="176"/>
      <c r="G160" s="26"/>
      <c r="H160" s="26"/>
    </row>
    <row r="161" spans="2:8" x14ac:dyDescent="0.25">
      <c r="B161" s="181" t="s">
        <v>76</v>
      </c>
      <c r="C161" s="182"/>
      <c r="D161" s="183"/>
      <c r="E161" s="184"/>
      <c r="F161" s="184"/>
      <c r="G161" s="27"/>
      <c r="H161" s="27"/>
    </row>
    <row r="162" spans="2:8" x14ac:dyDescent="0.25">
      <c r="B162" s="181" t="s">
        <v>77</v>
      </c>
      <c r="C162" s="182"/>
      <c r="D162" s="183"/>
      <c r="E162" s="184"/>
      <c r="F162" s="184"/>
      <c r="G162" s="27"/>
      <c r="H162" s="27"/>
    </row>
    <row r="163" spans="2:8" x14ac:dyDescent="0.25">
      <c r="B163" s="177" t="s">
        <v>78</v>
      </c>
      <c r="C163" s="178"/>
      <c r="D163" s="179"/>
      <c r="E163" s="180"/>
      <c r="F163" s="180"/>
      <c r="G163" s="25"/>
      <c r="H163" s="25"/>
    </row>
    <row r="164" spans="2:8" x14ac:dyDescent="0.25">
      <c r="B164" s="181" t="s">
        <v>79</v>
      </c>
      <c r="C164" s="182"/>
      <c r="D164" s="183"/>
      <c r="E164" s="184"/>
      <c r="F164" s="184"/>
      <c r="G164" s="27"/>
      <c r="H164" s="27"/>
    </row>
    <row r="165" spans="2:8" x14ac:dyDescent="0.25">
      <c r="B165" s="177" t="s">
        <v>80</v>
      </c>
      <c r="C165" s="178"/>
      <c r="D165" s="179"/>
      <c r="E165" s="184"/>
      <c r="F165" s="184"/>
      <c r="G165" s="27"/>
      <c r="H165" s="27"/>
    </row>
    <row r="166" spans="2:8" x14ac:dyDescent="0.25">
      <c r="B166" s="16"/>
      <c r="C166" s="16"/>
      <c r="D166" s="16"/>
      <c r="E166" s="17"/>
      <c r="F166" s="17"/>
      <c r="G166" s="17"/>
      <c r="H166" s="17"/>
    </row>
    <row r="167" spans="2:8" ht="36" customHeight="1" x14ac:dyDescent="0.25">
      <c r="B167" s="185" t="s">
        <v>115</v>
      </c>
      <c r="C167" s="186"/>
      <c r="D167" s="186"/>
      <c r="E167" s="186"/>
      <c r="F167" s="21" t="s">
        <v>116</v>
      </c>
    </row>
    <row r="168" spans="2:8" ht="14.45" customHeight="1" x14ac:dyDescent="0.25">
      <c r="B168" s="187" t="s">
        <v>117</v>
      </c>
      <c r="C168" s="188" t="s">
        <v>118</v>
      </c>
      <c r="D168" s="190" t="s">
        <v>119</v>
      </c>
      <c r="E168" s="191"/>
      <c r="F168" s="4"/>
    </row>
    <row r="169" spans="2:8" x14ac:dyDescent="0.25">
      <c r="B169" s="187"/>
      <c r="C169" s="189"/>
      <c r="D169" s="83" t="s">
        <v>120</v>
      </c>
      <c r="E169" s="83" t="s">
        <v>121</v>
      </c>
      <c r="F169" s="4"/>
    </row>
    <row r="170" spans="2:8" x14ac:dyDescent="0.25">
      <c r="B170" s="35"/>
      <c r="C170" s="34"/>
      <c r="D170" s="4"/>
      <c r="E170" s="4"/>
      <c r="F170" s="4"/>
    </row>
    <row r="171" spans="2:8" x14ac:dyDescent="0.25">
      <c r="B171" s="35"/>
      <c r="C171" s="35"/>
      <c r="D171" s="4"/>
      <c r="E171" s="4"/>
      <c r="F171" s="4"/>
    </row>
    <row r="172" spans="2:8" x14ac:dyDescent="0.25">
      <c r="B172" s="120"/>
      <c r="C172" s="120"/>
      <c r="D172" s="121"/>
      <c r="E172" s="121"/>
      <c r="F172" s="121"/>
    </row>
    <row r="173" spans="2:8" x14ac:dyDescent="0.25">
      <c r="B173" s="120" t="s">
        <v>247</v>
      </c>
      <c r="C173" s="120"/>
      <c r="D173" s="121" t="s">
        <v>248</v>
      </c>
      <c r="E173" s="121"/>
      <c r="F173" s="121"/>
    </row>
    <row r="174" spans="2:8" x14ac:dyDescent="0.25">
      <c r="B174" s="120"/>
      <c r="C174" s="120"/>
      <c r="D174" s="121"/>
      <c r="E174" s="121"/>
      <c r="F174" s="121"/>
    </row>
  </sheetData>
  <mergeCells count="181">
    <mergeCell ref="B158:C158"/>
    <mergeCell ref="E158:F158"/>
    <mergeCell ref="B159:D159"/>
    <mergeCell ref="E159:F159"/>
    <mergeCell ref="B160:D160"/>
    <mergeCell ref="E160:F160"/>
    <mergeCell ref="B155:C155"/>
    <mergeCell ref="E155:F155"/>
    <mergeCell ref="B156:C156"/>
    <mergeCell ref="E156:F156"/>
    <mergeCell ref="B157:C157"/>
    <mergeCell ref="E157:F157"/>
    <mergeCell ref="B167:E167"/>
    <mergeCell ref="B168:B169"/>
    <mergeCell ref="C168:C169"/>
    <mergeCell ref="D168:E168"/>
    <mergeCell ref="B161:D161"/>
    <mergeCell ref="E161:F161"/>
    <mergeCell ref="B162:D162"/>
    <mergeCell ref="E162:F162"/>
    <mergeCell ref="B163:D163"/>
    <mergeCell ref="E163:F163"/>
    <mergeCell ref="B164:D164"/>
    <mergeCell ref="E164:F164"/>
    <mergeCell ref="B165:D165"/>
    <mergeCell ref="E165:F165"/>
    <mergeCell ref="B153:C153"/>
    <mergeCell ref="E153:F153"/>
    <mergeCell ref="B154:C154"/>
    <mergeCell ref="E154:F154"/>
    <mergeCell ref="B147:D147"/>
    <mergeCell ref="E147:F147"/>
    <mergeCell ref="B149:D149"/>
    <mergeCell ref="E149:F149"/>
    <mergeCell ref="B151:C151"/>
    <mergeCell ref="E151:F151"/>
    <mergeCell ref="B152:C152"/>
    <mergeCell ref="E152:F152"/>
    <mergeCell ref="B144:D144"/>
    <mergeCell ref="E144:F144"/>
    <mergeCell ref="B145:D145"/>
    <mergeCell ref="E145:F145"/>
    <mergeCell ref="B146:D146"/>
    <mergeCell ref="E146:F146"/>
    <mergeCell ref="G108:G109"/>
    <mergeCell ref="H108:H109"/>
    <mergeCell ref="B141:D141"/>
    <mergeCell ref="E141:F141"/>
    <mergeCell ref="B143:D143"/>
    <mergeCell ref="E143:F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B101:C101"/>
    <mergeCell ref="B102:C102"/>
    <mergeCell ref="B104:C104"/>
    <mergeCell ref="B105:C105"/>
    <mergeCell ref="B107:F107"/>
    <mergeCell ref="B108:B109"/>
    <mergeCell ref="C108:D108"/>
    <mergeCell ref="E108:E109"/>
    <mergeCell ref="F108:F109"/>
    <mergeCell ref="B95:C95"/>
    <mergeCell ref="B96:C96"/>
    <mergeCell ref="B97:C97"/>
    <mergeCell ref="B98:C98"/>
    <mergeCell ref="B99:C99"/>
    <mergeCell ref="B100:C100"/>
    <mergeCell ref="B93:G93"/>
    <mergeCell ref="B94:C94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50:C50"/>
    <mergeCell ref="B51:C51"/>
    <mergeCell ref="B52:C52"/>
    <mergeCell ref="B53:C53"/>
    <mergeCell ref="B72:C72"/>
    <mergeCell ref="B73:C7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C132:D132"/>
    <mergeCell ref="C133:D133"/>
    <mergeCell ref="C134:D134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</mergeCells>
  <pageMargins left="0.11811023622047245" right="0.11811023622047245" top="0.15748031496062992" bottom="0.15748031496062992" header="0.31496062992125984" footer="0.31496062992125984"/>
  <pageSetup paperSize="9" scale="61" orientation="portrait" r:id="rId1"/>
  <headerFooter alignWithMargins="0"/>
  <rowBreaks count="2" manualBreakCount="2">
    <brk id="71" max="7" man="1"/>
    <brk id="1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1"/>
  <sheetViews>
    <sheetView view="pageBreakPreview" topLeftCell="A17" zoomScale="70" zoomScaleSheetLayoutView="70" workbookViewId="0">
      <selection activeCell="E25" sqref="E25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7.285156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158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159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59961.4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47409.599999999999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12551.8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f>59961.4</f>
        <v>59961.4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160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814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26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2075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69" t="s">
        <v>20</v>
      </c>
      <c r="F21" s="69" t="s">
        <v>21</v>
      </c>
      <c r="G21" s="69" t="s">
        <v>19</v>
      </c>
      <c r="H21" s="31"/>
    </row>
    <row r="22" spans="1:8" x14ac:dyDescent="0.25">
      <c r="B22" s="223" t="s">
        <v>22</v>
      </c>
      <c r="C22" s="224"/>
      <c r="D22" s="7">
        <f>E22</f>
        <v>253951.92</v>
      </c>
      <c r="E22" s="7">
        <v>253951.92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18215116.280000001</v>
      </c>
      <c r="E23" s="45">
        <f>E38+D102+C146</f>
        <v>8840739.0199999996</v>
      </c>
      <c r="F23" s="7">
        <f>D103+D104+D105+D106+D107+D108+D109+D110</f>
        <v>1531299.5399999998</v>
      </c>
      <c r="G23" s="7">
        <f>F117+F118+F119+F120+F121+F122</f>
        <v>7843077.7200000016</v>
      </c>
      <c r="H23" s="2"/>
    </row>
    <row r="24" spans="1:8" x14ac:dyDescent="0.25">
      <c r="B24" s="223" t="s">
        <v>24</v>
      </c>
      <c r="C24" s="224"/>
      <c r="D24" s="43">
        <f>E24+F24+G24</f>
        <v>15808365.960000001</v>
      </c>
      <c r="E24" s="45">
        <f>F38+E102+D144+D145</f>
        <v>8320016.1200000001</v>
      </c>
      <c r="F24" s="7">
        <f>E103+E104+E106+E107+E110+E105+E108+E109</f>
        <v>1602704.83</v>
      </c>
      <c r="G24" s="7">
        <f>G123</f>
        <v>5885645.0100000007</v>
      </c>
      <c r="H24" s="2"/>
    </row>
    <row r="25" spans="1:8" x14ac:dyDescent="0.25">
      <c r="B25" s="223" t="s">
        <v>25</v>
      </c>
      <c r="C25" s="224"/>
      <c r="D25" s="7">
        <f>E25+F25+G25</f>
        <v>15372176.330000002</v>
      </c>
      <c r="E25" s="44">
        <f>D146+6853717.6</f>
        <v>7883826.4899999993</v>
      </c>
      <c r="F25" s="7">
        <f>F24</f>
        <v>1602704.83</v>
      </c>
      <c r="G25" s="7">
        <f>G24</f>
        <v>5885645.0100000007</v>
      </c>
      <c r="H25" s="2"/>
    </row>
    <row r="26" spans="1:8" x14ac:dyDescent="0.25">
      <c r="B26" s="223" t="s">
        <v>255</v>
      </c>
      <c r="C26" s="224"/>
      <c r="D26" s="7">
        <f>E26+F26+G26</f>
        <v>2832030.5300000003</v>
      </c>
      <c r="E26" s="45">
        <f>G38+G102+F146</f>
        <v>784478.51</v>
      </c>
      <c r="F26" s="45">
        <f>G111-G102</f>
        <v>168988.07999999996</v>
      </c>
      <c r="G26" s="45">
        <f>H123</f>
        <v>1878563.9400000002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28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66" t="s">
        <v>30</v>
      </c>
      <c r="F30" s="68" t="s">
        <v>31</v>
      </c>
      <c r="G30" s="64" t="s">
        <v>32</v>
      </c>
      <c r="H30" s="9"/>
    </row>
    <row r="31" spans="1:8" x14ac:dyDescent="0.25">
      <c r="B31" s="174" t="s">
        <v>33</v>
      </c>
      <c r="C31" s="212"/>
      <c r="D31" s="175"/>
      <c r="E31" s="61">
        <v>876212.58</v>
      </c>
      <c r="F31" s="40">
        <v>868903.16</v>
      </c>
      <c r="G31" s="61">
        <f>107631.69-77278.09-60</f>
        <v>30293.600000000006</v>
      </c>
      <c r="H31" s="5"/>
    </row>
    <row r="32" spans="1:8" x14ac:dyDescent="0.25">
      <c r="B32" s="174" t="s">
        <v>34</v>
      </c>
      <c r="C32" s="212"/>
      <c r="D32" s="175"/>
      <c r="E32" s="61">
        <v>1160646.48</v>
      </c>
      <c r="F32" s="40">
        <v>1155789.29</v>
      </c>
      <c r="G32" s="61">
        <f>140816.24-100508.25-50</f>
        <v>40257.989999999991</v>
      </c>
      <c r="H32" s="5"/>
    </row>
    <row r="33" spans="2:8" x14ac:dyDescent="0.25">
      <c r="B33" s="174" t="s">
        <v>35</v>
      </c>
      <c r="C33" s="212"/>
      <c r="D33" s="175"/>
      <c r="E33" s="61">
        <v>705524.6</v>
      </c>
      <c r="F33" s="40">
        <v>700216.93</v>
      </c>
      <c r="G33" s="61">
        <f>86833.6-62107.06-59.32</f>
        <v>24667.220000000008</v>
      </c>
      <c r="H33" s="5"/>
    </row>
    <row r="34" spans="2:8" hidden="1" x14ac:dyDescent="0.25">
      <c r="B34" s="174" t="s">
        <v>36</v>
      </c>
      <c r="C34" s="175"/>
      <c r="D34" s="67"/>
      <c r="E34" s="61"/>
      <c r="F34" s="40"/>
      <c r="G34" s="61"/>
      <c r="H34" s="5"/>
    </row>
    <row r="35" spans="2:8" x14ac:dyDescent="0.25">
      <c r="B35" s="174" t="s">
        <v>37</v>
      </c>
      <c r="C35" s="212"/>
      <c r="D35" s="175"/>
      <c r="E35" s="61">
        <v>1787544.86</v>
      </c>
      <c r="F35" s="40">
        <v>1699642.12</v>
      </c>
      <c r="G35" s="61">
        <f>282255.87-172098.54+30118.17</f>
        <v>140275.5</v>
      </c>
      <c r="H35" s="5"/>
    </row>
    <row r="36" spans="2:8" x14ac:dyDescent="0.25">
      <c r="B36" s="174" t="s">
        <v>38</v>
      </c>
      <c r="C36" s="212"/>
      <c r="D36" s="175"/>
      <c r="E36" s="61">
        <v>1240158.1499999999</v>
      </c>
      <c r="F36" s="40">
        <f>1194799.43+5731.72</f>
        <v>1200531.1499999999</v>
      </c>
      <c r="G36" s="61">
        <f>3875.81+182114.75+7754.29+5089.57-136065.66+45466.35</f>
        <v>108235.11000000002</v>
      </c>
      <c r="H36" s="5"/>
    </row>
    <row r="37" spans="2:8" ht="30" customHeight="1" x14ac:dyDescent="0.25">
      <c r="B37" s="174" t="s">
        <v>39</v>
      </c>
      <c r="C37" s="212"/>
      <c r="D37" s="175"/>
      <c r="E37" s="61">
        <v>1401392.94</v>
      </c>
      <c r="F37" s="40">
        <f>1312521.7+4545.2</f>
        <v>1317066.8999999999</v>
      </c>
      <c r="G37" s="61">
        <f>-8037.36+224480.67+3886.68-138188.03+8229.78</f>
        <v>90371.74000000002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7171479.6099999994</v>
      </c>
      <c r="F38" s="41">
        <f>SUM(F31:F37)</f>
        <v>6942149.5500000007</v>
      </c>
      <c r="G38" s="41">
        <f>SUM(G31:G37)</f>
        <v>434101.16000000003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2742383.66</v>
      </c>
      <c r="G44" s="123"/>
      <c r="H44" s="123">
        <f t="shared" ref="H44" si="0">H45+H46+H47</f>
        <v>2754354.49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876212.58</v>
      </c>
      <c r="G45" s="112"/>
      <c r="H45" s="105">
        <f>1241714-116216.2</f>
        <v>1125497.8</v>
      </c>
    </row>
    <row r="46" spans="2:8" x14ac:dyDescent="0.25">
      <c r="B46" s="210" t="s">
        <v>49</v>
      </c>
      <c r="C46" s="211"/>
      <c r="D46" s="61">
        <v>2014</v>
      </c>
      <c r="E46" s="10"/>
      <c r="F46" s="105">
        <f>E32</f>
        <v>1160646.48</v>
      </c>
      <c r="G46" s="112"/>
      <c r="H46" s="105">
        <f>1188465-156351.76</f>
        <v>1032113.24</v>
      </c>
    </row>
    <row r="47" spans="2:8" x14ac:dyDescent="0.25">
      <c r="B47" s="174" t="s">
        <v>35</v>
      </c>
      <c r="C47" s="175"/>
      <c r="D47" s="61">
        <v>2014</v>
      </c>
      <c r="E47" s="10"/>
      <c r="F47" s="105">
        <f>E33</f>
        <v>705524.6</v>
      </c>
      <c r="G47" s="112"/>
      <c r="H47" s="105">
        <f>690470-93726.55</f>
        <v>596743.44999999995</v>
      </c>
    </row>
    <row r="48" spans="2:8" hidden="1" x14ac:dyDescent="0.25">
      <c r="B48" s="174" t="s">
        <v>36</v>
      </c>
      <c r="C48" s="175"/>
      <c r="D48" s="61"/>
      <c r="E48" s="10"/>
      <c r="F48" s="105">
        <f>E34</f>
        <v>0</v>
      </c>
      <c r="G48" s="112"/>
      <c r="H48" s="105"/>
    </row>
    <row r="49" spans="2:8" x14ac:dyDescent="0.25">
      <c r="B49" s="202" t="s">
        <v>65</v>
      </c>
      <c r="C49" s="203"/>
      <c r="D49" s="61"/>
      <c r="E49" s="10"/>
      <c r="F49" s="113"/>
      <c r="G49" s="112"/>
      <c r="H49" s="113"/>
    </row>
    <row r="50" spans="2:8" ht="30.75" customHeight="1" x14ac:dyDescent="0.25">
      <c r="B50" s="174" t="s">
        <v>66</v>
      </c>
      <c r="C50" s="175"/>
      <c r="D50" s="166" t="s">
        <v>266</v>
      </c>
      <c r="E50" s="166"/>
      <c r="F50" s="10"/>
      <c r="G50" s="166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450</v>
      </c>
      <c r="F51" s="151">
        <f>144160.69+1950+3210+760</f>
        <v>150080.69</v>
      </c>
      <c r="G51" s="150" t="s">
        <v>451</v>
      </c>
      <c r="H51" s="151">
        <f>144160.69+1950+3210+760</f>
        <v>150080.69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23850</v>
      </c>
      <c r="G52" s="166" t="s">
        <v>267</v>
      </c>
      <c r="H52" s="152">
        <v>39686.86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12910+55091.92</f>
        <v>68001.919999999998</v>
      </c>
      <c r="G53" s="166" t="s">
        <v>267</v>
      </c>
      <c r="H53" s="152">
        <f>13674.99+52979.95</f>
        <v>66654.94</v>
      </c>
    </row>
    <row r="54" spans="2:8" ht="16.5" customHeight="1" x14ac:dyDescent="0.25">
      <c r="B54" s="208" t="s">
        <v>397</v>
      </c>
      <c r="C54" s="209"/>
      <c r="D54" s="150" t="s">
        <v>272</v>
      </c>
      <c r="E54" s="150" t="s">
        <v>452</v>
      </c>
      <c r="F54" s="151">
        <f>7825.17+9643.83</f>
        <v>17469</v>
      </c>
      <c r="G54" s="150" t="s">
        <v>452</v>
      </c>
      <c r="H54" s="151">
        <f>7825.17+9643.83</f>
        <v>17469</v>
      </c>
    </row>
    <row r="55" spans="2:8" x14ac:dyDescent="0.25">
      <c r="B55" s="208" t="s">
        <v>273</v>
      </c>
      <c r="C55" s="209"/>
      <c r="D55" s="153"/>
      <c r="E55" s="108"/>
      <c r="F55" s="154"/>
      <c r="G55" s="108"/>
      <c r="H55" s="154"/>
    </row>
    <row r="56" spans="2:8" x14ac:dyDescent="0.25">
      <c r="B56" s="239" t="s">
        <v>274</v>
      </c>
      <c r="C56" s="240"/>
      <c r="D56" s="108" t="s">
        <v>272</v>
      </c>
      <c r="E56" s="155"/>
      <c r="F56" s="156"/>
      <c r="G56" s="155"/>
      <c r="H56" s="156"/>
    </row>
    <row r="57" spans="2:8" x14ac:dyDescent="0.25">
      <c r="B57" s="239" t="s">
        <v>276</v>
      </c>
      <c r="C57" s="240"/>
      <c r="D57" s="108" t="s">
        <v>272</v>
      </c>
      <c r="E57" s="108"/>
      <c r="F57" s="156"/>
      <c r="G57" s="155"/>
      <c r="H57" s="156"/>
    </row>
    <row r="58" spans="2:8" x14ac:dyDescent="0.25">
      <c r="B58" s="239" t="s">
        <v>277</v>
      </c>
      <c r="C58" s="240"/>
      <c r="D58" s="108" t="s">
        <v>272</v>
      </c>
      <c r="E58" s="108"/>
      <c r="F58" s="157"/>
      <c r="G58" s="155"/>
      <c r="H58" s="156"/>
    </row>
    <row r="59" spans="2:8" x14ac:dyDescent="0.25">
      <c r="B59" s="239" t="s">
        <v>453</v>
      </c>
      <c r="C59" s="240"/>
      <c r="D59" s="108" t="s">
        <v>272</v>
      </c>
      <c r="E59" s="150" t="s">
        <v>454</v>
      </c>
      <c r="F59" s="158">
        <v>792.64</v>
      </c>
      <c r="G59" s="159" t="s">
        <v>454</v>
      </c>
      <c r="H59" s="158">
        <v>792.64</v>
      </c>
    </row>
    <row r="60" spans="2:8" x14ac:dyDescent="0.25">
      <c r="B60" s="241" t="s">
        <v>455</v>
      </c>
      <c r="C60" s="242"/>
      <c r="D60" s="108" t="s">
        <v>272</v>
      </c>
      <c r="E60" s="150"/>
      <c r="F60" s="160"/>
      <c r="G60" s="159" t="s">
        <v>456</v>
      </c>
      <c r="H60" s="158">
        <f>25942.34+11700</f>
        <v>37642.339999999997</v>
      </c>
    </row>
    <row r="61" spans="2:8" x14ac:dyDescent="0.25">
      <c r="B61" s="208" t="s">
        <v>69</v>
      </c>
      <c r="C61" s="209"/>
      <c r="D61" s="108" t="s">
        <v>272</v>
      </c>
      <c r="E61" s="161"/>
      <c r="F61" s="152"/>
      <c r="G61" s="161"/>
      <c r="H61" s="152"/>
    </row>
    <row r="62" spans="2:8" x14ac:dyDescent="0.25">
      <c r="B62" s="208" t="s">
        <v>280</v>
      </c>
      <c r="C62" s="209"/>
      <c r="D62" s="108" t="s">
        <v>272</v>
      </c>
      <c r="E62" s="108"/>
      <c r="F62" s="154"/>
      <c r="G62" s="108"/>
      <c r="H62" s="152"/>
    </row>
    <row r="63" spans="2:8" x14ac:dyDescent="0.25">
      <c r="B63" s="208" t="s">
        <v>281</v>
      </c>
      <c r="C63" s="209"/>
      <c r="D63" s="150"/>
      <c r="E63" s="150"/>
      <c r="F63" s="151"/>
      <c r="G63" s="150"/>
      <c r="H63" s="151"/>
    </row>
    <row r="64" spans="2:8" x14ac:dyDescent="0.25">
      <c r="B64" s="208" t="s">
        <v>282</v>
      </c>
      <c r="C64" s="209"/>
      <c r="D64" s="153"/>
      <c r="E64" s="108"/>
      <c r="F64" s="154"/>
      <c r="G64" s="108"/>
      <c r="H64" s="154"/>
    </row>
    <row r="65" spans="2:8" x14ac:dyDescent="0.25">
      <c r="B65" s="208" t="s">
        <v>457</v>
      </c>
      <c r="C65" s="209"/>
      <c r="D65" s="153"/>
      <c r="E65" s="108"/>
      <c r="F65" s="152"/>
      <c r="G65" s="108" t="s">
        <v>458</v>
      </c>
      <c r="H65" s="152">
        <v>52011.26</v>
      </c>
    </row>
    <row r="66" spans="2:8" ht="53.25" customHeight="1" x14ac:dyDescent="0.25">
      <c r="B66" s="208" t="s">
        <v>459</v>
      </c>
      <c r="C66" s="209"/>
      <c r="D66" s="150"/>
      <c r="E66" s="150"/>
      <c r="F66" s="151">
        <f>5880+22646.5</f>
        <v>28526.5</v>
      </c>
      <c r="G66" s="150"/>
      <c r="H66" s="151">
        <f>5880+22646.5+11232+435.38</f>
        <v>40193.879999999997</v>
      </c>
    </row>
    <row r="67" spans="2:8" x14ac:dyDescent="0.25">
      <c r="B67" s="243" t="s">
        <v>50</v>
      </c>
      <c r="C67" s="244"/>
      <c r="D67" s="108"/>
      <c r="E67" s="108"/>
      <c r="F67" s="162"/>
      <c r="G67" s="163"/>
      <c r="H67" s="162"/>
    </row>
    <row r="68" spans="2:8" ht="44.25" customHeight="1" x14ac:dyDescent="0.25">
      <c r="B68" s="208" t="s">
        <v>51</v>
      </c>
      <c r="C68" s="209"/>
      <c r="D68" s="153" t="s">
        <v>284</v>
      </c>
      <c r="E68" s="108"/>
      <c r="F68" s="154"/>
      <c r="G68" s="108" t="s">
        <v>271</v>
      </c>
      <c r="H68" s="154"/>
    </row>
    <row r="69" spans="2:8" ht="44.25" customHeight="1" x14ac:dyDescent="0.25">
      <c r="B69" s="208" t="s">
        <v>52</v>
      </c>
      <c r="C69" s="209"/>
      <c r="D69" s="108" t="s">
        <v>285</v>
      </c>
      <c r="E69" s="108"/>
      <c r="F69" s="154"/>
      <c r="G69" s="108" t="s">
        <v>271</v>
      </c>
      <c r="H69" s="154"/>
    </row>
    <row r="70" spans="2:8" ht="50.25" customHeight="1" x14ac:dyDescent="0.25">
      <c r="B70" s="208" t="s">
        <v>53</v>
      </c>
      <c r="C70" s="209"/>
      <c r="D70" s="108" t="s">
        <v>286</v>
      </c>
      <c r="E70" s="108"/>
      <c r="F70" s="154"/>
      <c r="G70" s="108" t="s">
        <v>271</v>
      </c>
      <c r="H70" s="154"/>
    </row>
    <row r="71" spans="2:8" ht="86.25" customHeight="1" x14ac:dyDescent="0.25">
      <c r="B71" s="208" t="s">
        <v>54</v>
      </c>
      <c r="C71" s="209"/>
      <c r="D71" s="150" t="s">
        <v>266</v>
      </c>
      <c r="E71" s="150" t="s">
        <v>271</v>
      </c>
      <c r="F71" s="151">
        <v>107788.55</v>
      </c>
      <c r="G71" s="150" t="s">
        <v>271</v>
      </c>
      <c r="H71" s="151">
        <v>103835.21</v>
      </c>
    </row>
    <row r="72" spans="2:8" x14ac:dyDescent="0.25">
      <c r="B72" s="208" t="s">
        <v>55</v>
      </c>
      <c r="C72" s="209"/>
      <c r="D72" s="108" t="s">
        <v>266</v>
      </c>
      <c r="E72" s="108" t="s">
        <v>460</v>
      </c>
      <c r="F72" s="152">
        <v>229768</v>
      </c>
      <c r="G72" s="108" t="s">
        <v>461</v>
      </c>
      <c r="H72" s="152">
        <f>12740.2+83963.2</f>
        <v>96703.4</v>
      </c>
    </row>
    <row r="73" spans="2:8" x14ac:dyDescent="0.25">
      <c r="B73" s="208" t="s">
        <v>56</v>
      </c>
      <c r="C73" s="209"/>
      <c r="D73" s="108" t="s">
        <v>266</v>
      </c>
      <c r="E73" s="108" t="s">
        <v>271</v>
      </c>
      <c r="F73" s="152">
        <v>235508.31</v>
      </c>
      <c r="G73" s="108" t="s">
        <v>271</v>
      </c>
      <c r="H73" s="152">
        <v>235508.31</v>
      </c>
    </row>
    <row r="74" spans="2:8" x14ac:dyDescent="0.25">
      <c r="B74" s="208" t="s">
        <v>57</v>
      </c>
      <c r="C74" s="209"/>
      <c r="D74" s="108" t="s">
        <v>266</v>
      </c>
      <c r="E74" s="108"/>
      <c r="F74" s="154"/>
      <c r="G74" s="108" t="s">
        <v>271</v>
      </c>
      <c r="H74" s="154"/>
    </row>
    <row r="75" spans="2:8" x14ac:dyDescent="0.25">
      <c r="B75" s="208" t="s">
        <v>58</v>
      </c>
      <c r="C75" s="209"/>
      <c r="D75" s="108" t="s">
        <v>266</v>
      </c>
      <c r="E75" s="108"/>
      <c r="F75" s="164"/>
      <c r="G75" s="108" t="s">
        <v>271</v>
      </c>
      <c r="H75" s="164"/>
    </row>
    <row r="76" spans="2:8" x14ac:dyDescent="0.25">
      <c r="B76" s="208" t="s">
        <v>282</v>
      </c>
      <c r="C76" s="209"/>
      <c r="D76" s="108"/>
      <c r="E76" s="108"/>
      <c r="F76" s="154"/>
      <c r="G76" s="108"/>
      <c r="H76" s="154"/>
    </row>
    <row r="77" spans="2:8" x14ac:dyDescent="0.25">
      <c r="B77" s="208" t="s">
        <v>289</v>
      </c>
      <c r="C77" s="209"/>
      <c r="D77" s="108"/>
      <c r="E77" s="108"/>
      <c r="F77" s="161">
        <v>53457.78</v>
      </c>
      <c r="G77" s="108"/>
      <c r="H77" s="161">
        <v>53457.78</v>
      </c>
    </row>
    <row r="78" spans="2:8" x14ac:dyDescent="0.25">
      <c r="B78" s="208" t="s">
        <v>462</v>
      </c>
      <c r="C78" s="209"/>
      <c r="D78" s="108"/>
      <c r="E78" s="108"/>
      <c r="F78" s="168"/>
      <c r="G78" s="108"/>
      <c r="H78" s="161">
        <v>32180.959999999999</v>
      </c>
    </row>
    <row r="79" spans="2:8" ht="30" customHeight="1" x14ac:dyDescent="0.25">
      <c r="B79" s="243" t="s">
        <v>59</v>
      </c>
      <c r="C79" s="244"/>
      <c r="D79" s="108"/>
      <c r="E79" s="108"/>
      <c r="F79" s="162"/>
      <c r="G79" s="108"/>
      <c r="H79" s="162"/>
    </row>
    <row r="80" spans="2:8" ht="30" customHeight="1" x14ac:dyDescent="0.25">
      <c r="B80" s="208" t="s">
        <v>60</v>
      </c>
      <c r="C80" s="209"/>
      <c r="D80" s="108" t="s">
        <v>272</v>
      </c>
      <c r="E80" s="108"/>
      <c r="F80" s="154"/>
      <c r="G80" s="108" t="s">
        <v>271</v>
      </c>
      <c r="H80" s="154"/>
    </row>
    <row r="81" spans="2:11" ht="33.75" customHeight="1" x14ac:dyDescent="0.25">
      <c r="B81" s="208" t="s">
        <v>61</v>
      </c>
      <c r="C81" s="209"/>
      <c r="D81" s="108" t="s">
        <v>270</v>
      </c>
      <c r="E81" s="108"/>
      <c r="F81" s="154"/>
      <c r="G81" s="108" t="s">
        <v>271</v>
      </c>
      <c r="H81" s="154"/>
    </row>
    <row r="82" spans="2:11" ht="78" customHeight="1" x14ac:dyDescent="0.25">
      <c r="B82" s="208" t="s">
        <v>62</v>
      </c>
      <c r="C82" s="209"/>
      <c r="D82" s="150" t="s">
        <v>266</v>
      </c>
      <c r="E82" s="150" t="s">
        <v>271</v>
      </c>
      <c r="F82" s="151">
        <f>115409.96+81440.24+56616.21</f>
        <v>253466.41</v>
      </c>
      <c r="G82" s="150" t="s">
        <v>271</v>
      </c>
      <c r="H82" s="151">
        <f>116498.73+81549.11+57084.38</f>
        <v>255132.22</v>
      </c>
    </row>
    <row r="83" spans="2:11" x14ac:dyDescent="0.25">
      <c r="B83" s="208" t="s">
        <v>290</v>
      </c>
      <c r="C83" s="209"/>
      <c r="D83" s="108" t="s">
        <v>291</v>
      </c>
      <c r="E83" s="161" t="s">
        <v>463</v>
      </c>
      <c r="F83" s="152">
        <f>104150.6+292600+107135.28</f>
        <v>503885.88</v>
      </c>
      <c r="G83" s="108" t="s">
        <v>464</v>
      </c>
      <c r="H83" s="152">
        <f>104150.6+89665.9+8006.7+11795.3+5653.3</f>
        <v>219271.8</v>
      </c>
    </row>
    <row r="84" spans="2:11" x14ac:dyDescent="0.25">
      <c r="B84" s="208" t="s">
        <v>282</v>
      </c>
      <c r="C84" s="209"/>
      <c r="D84" s="108"/>
      <c r="E84" s="108"/>
      <c r="F84" s="154"/>
      <c r="G84" s="108"/>
      <c r="H84" s="152"/>
    </row>
    <row r="85" spans="2:11" x14ac:dyDescent="0.25">
      <c r="B85" s="243" t="s">
        <v>63</v>
      </c>
      <c r="C85" s="244"/>
      <c r="D85" s="153"/>
      <c r="E85" s="108" t="s">
        <v>271</v>
      </c>
      <c r="F85" s="152">
        <v>213141.73</v>
      </c>
      <c r="G85" s="108" t="s">
        <v>271</v>
      </c>
      <c r="H85" s="152">
        <v>213141.73</v>
      </c>
    </row>
    <row r="86" spans="2:11" x14ac:dyDescent="0.25">
      <c r="B86" s="243" t="s">
        <v>64</v>
      </c>
      <c r="C86" s="244"/>
      <c r="D86" s="108"/>
      <c r="E86" s="108" t="s">
        <v>271</v>
      </c>
      <c r="F86" s="152">
        <v>180736.35</v>
      </c>
      <c r="G86" s="108" t="s">
        <v>271</v>
      </c>
      <c r="H86" s="152">
        <v>176736.64000000001</v>
      </c>
      <c r="K86" s="5"/>
    </row>
    <row r="87" spans="2:11" x14ac:dyDescent="0.25">
      <c r="B87" s="243" t="s">
        <v>294</v>
      </c>
      <c r="C87" s="244"/>
      <c r="D87" s="108"/>
      <c r="E87" s="108"/>
      <c r="F87" s="162"/>
      <c r="G87" s="163"/>
      <c r="H87" s="162"/>
    </row>
    <row r="88" spans="2:11" x14ac:dyDescent="0.25">
      <c r="B88" s="208" t="s">
        <v>295</v>
      </c>
      <c r="C88" s="209"/>
      <c r="D88" s="153" t="s">
        <v>296</v>
      </c>
      <c r="E88" s="108"/>
      <c r="F88" s="152">
        <v>35500.19</v>
      </c>
      <c r="G88" s="108"/>
      <c r="H88" s="152">
        <v>33989.589999999997</v>
      </c>
    </row>
    <row r="89" spans="2:11" ht="19.5" customHeight="1" x14ac:dyDescent="0.25">
      <c r="B89" s="208" t="s">
        <v>71</v>
      </c>
      <c r="C89" s="209"/>
      <c r="D89" s="153" t="s">
        <v>297</v>
      </c>
      <c r="E89" s="108" t="s">
        <v>465</v>
      </c>
      <c r="F89" s="152">
        <v>8460</v>
      </c>
      <c r="G89" s="108" t="s">
        <v>466</v>
      </c>
      <c r="H89" s="152">
        <v>13418.29</v>
      </c>
    </row>
    <row r="90" spans="2:11" ht="18" customHeight="1" x14ac:dyDescent="0.25">
      <c r="B90" s="208" t="s">
        <v>72</v>
      </c>
      <c r="C90" s="209"/>
      <c r="D90" s="108" t="s">
        <v>299</v>
      </c>
      <c r="E90" s="108" t="s">
        <v>467</v>
      </c>
      <c r="F90" s="152">
        <v>25590.639999999999</v>
      </c>
      <c r="G90" s="108" t="s">
        <v>467</v>
      </c>
      <c r="H90" s="152">
        <v>25590.639999999999</v>
      </c>
    </row>
    <row r="91" spans="2:11" s="170" customFormat="1" ht="18.75" customHeight="1" x14ac:dyDescent="0.25">
      <c r="B91" s="208" t="s">
        <v>301</v>
      </c>
      <c r="C91" s="209"/>
      <c r="D91" s="150" t="s">
        <v>291</v>
      </c>
      <c r="E91" s="150" t="s">
        <v>271</v>
      </c>
      <c r="F91" s="151">
        <v>201314.17</v>
      </c>
      <c r="G91" s="150" t="s">
        <v>271</v>
      </c>
      <c r="H91" s="168">
        <v>201314.17</v>
      </c>
    </row>
    <row r="92" spans="2:11" x14ac:dyDescent="0.25">
      <c r="B92" s="208" t="s">
        <v>282</v>
      </c>
      <c r="C92" s="209"/>
      <c r="D92" s="108"/>
      <c r="E92" s="108"/>
      <c r="F92" s="154"/>
      <c r="G92" s="108"/>
      <c r="H92" s="154"/>
    </row>
    <row r="93" spans="2:11" x14ac:dyDescent="0.25">
      <c r="B93" s="208" t="s">
        <v>406</v>
      </c>
      <c r="C93" s="209"/>
      <c r="D93" s="108" t="s">
        <v>407</v>
      </c>
      <c r="E93" s="108" t="s">
        <v>468</v>
      </c>
      <c r="F93" s="152">
        <v>8580</v>
      </c>
      <c r="G93" s="108" t="s">
        <v>468</v>
      </c>
      <c r="H93" s="152">
        <v>8580</v>
      </c>
    </row>
    <row r="94" spans="2:11" x14ac:dyDescent="0.25">
      <c r="B94" s="208" t="s">
        <v>302</v>
      </c>
      <c r="C94" s="209"/>
      <c r="D94" s="108" t="s">
        <v>291</v>
      </c>
      <c r="E94" s="108" t="s">
        <v>469</v>
      </c>
      <c r="F94" s="152">
        <v>89279.4</v>
      </c>
      <c r="G94" s="108" t="s">
        <v>469</v>
      </c>
      <c r="H94" s="152">
        <v>73445.070000000007</v>
      </c>
    </row>
    <row r="95" spans="2:11" x14ac:dyDescent="0.25">
      <c r="B95" s="208" t="s">
        <v>470</v>
      </c>
      <c r="C95" s="209"/>
      <c r="D95" s="108"/>
      <c r="E95" s="108" t="s">
        <v>355</v>
      </c>
      <c r="F95" s="152">
        <v>70000</v>
      </c>
      <c r="G95" s="108" t="s">
        <v>355</v>
      </c>
      <c r="H95" s="152">
        <v>70000</v>
      </c>
    </row>
    <row r="96" spans="2:11" x14ac:dyDescent="0.25">
      <c r="B96" s="208" t="s">
        <v>471</v>
      </c>
      <c r="C96" s="209"/>
      <c r="D96" s="108"/>
      <c r="E96" s="108" t="s">
        <v>454</v>
      </c>
      <c r="F96" s="152">
        <v>3000</v>
      </c>
      <c r="G96" s="108" t="s">
        <v>454</v>
      </c>
      <c r="H96" s="152">
        <v>3000</v>
      </c>
    </row>
    <row r="97" spans="2:8" ht="40.5" customHeight="1" x14ac:dyDescent="0.25">
      <c r="B97" s="208" t="s">
        <v>320</v>
      </c>
      <c r="C97" s="209"/>
      <c r="D97" s="108"/>
      <c r="E97" s="108"/>
      <c r="F97" s="152">
        <v>926754.57</v>
      </c>
      <c r="G97" s="108"/>
      <c r="H97" s="152">
        <v>926754.57</v>
      </c>
    </row>
    <row r="98" spans="2:8" x14ac:dyDescent="0.25">
      <c r="B98" s="206" t="s">
        <v>73</v>
      </c>
      <c r="C98" s="207"/>
      <c r="D98" s="108"/>
      <c r="E98" s="108"/>
      <c r="F98" s="165">
        <v>6289000</v>
      </c>
      <c r="G98" s="165"/>
      <c r="H98" s="165">
        <f>6853717.6-582536.1</f>
        <v>6271181.5</v>
      </c>
    </row>
    <row r="99" spans="2:8" x14ac:dyDescent="0.25">
      <c r="B99" s="9"/>
      <c r="C99" s="9"/>
      <c r="D99" s="5"/>
      <c r="E99" s="5"/>
      <c r="F99" s="15"/>
      <c r="G99" s="5"/>
      <c r="H99" s="15"/>
    </row>
    <row r="100" spans="2:8" x14ac:dyDescent="0.25">
      <c r="B100" s="201" t="s">
        <v>81</v>
      </c>
      <c r="C100" s="201"/>
      <c r="D100" s="201"/>
      <c r="E100" s="201"/>
      <c r="F100" s="201"/>
      <c r="G100" s="201"/>
    </row>
    <row r="101" spans="2:8" ht="63" customHeight="1" x14ac:dyDescent="0.25">
      <c r="B101" s="194" t="s">
        <v>29</v>
      </c>
      <c r="C101" s="194"/>
      <c r="D101" s="66" t="s">
        <v>30</v>
      </c>
      <c r="E101" s="66" t="s">
        <v>31</v>
      </c>
      <c r="F101" s="64" t="s">
        <v>82</v>
      </c>
      <c r="G101" s="64" t="s">
        <v>32</v>
      </c>
    </row>
    <row r="102" spans="2:8" x14ac:dyDescent="0.25">
      <c r="B102" s="181" t="s">
        <v>83</v>
      </c>
      <c r="C102" s="183"/>
      <c r="D102" s="61">
        <v>542083.52</v>
      </c>
      <c r="E102" s="61">
        <v>347757.68</v>
      </c>
      <c r="F102" s="61">
        <f>E102</f>
        <v>347757.68</v>
      </c>
      <c r="G102" s="63">
        <f>222232.75-132686.25+25378.23</f>
        <v>114924.73</v>
      </c>
    </row>
    <row r="103" spans="2:8" x14ac:dyDescent="0.25">
      <c r="B103" s="181" t="s">
        <v>84</v>
      </c>
      <c r="C103" s="183"/>
      <c r="D103" s="61">
        <f>216029.29-4361.67+58509.69-1215.72+66795.75-1253.51+111934.09</f>
        <v>446437.92000000004</v>
      </c>
      <c r="E103" s="61">
        <f>220354.66+59522.94+66612.06+112300.75</f>
        <v>458790.41</v>
      </c>
      <c r="F103" s="75">
        <f t="shared" ref="F103:F110" si="1">E103</f>
        <v>458790.41</v>
      </c>
      <c r="G103" s="63">
        <f>72458.83+19799.11+21556.31-54063.8+478.52-14642.72+131.91-16716.4+141.57+3352.55</f>
        <v>32495.879999999994</v>
      </c>
    </row>
    <row r="104" spans="2:8" ht="30" customHeight="1" x14ac:dyDescent="0.25">
      <c r="B104" s="174" t="s">
        <v>85</v>
      </c>
      <c r="C104" s="175"/>
      <c r="D104" s="61">
        <f>203412.86-12069.54</f>
        <v>191343.31999999998</v>
      </c>
      <c r="E104" s="61">
        <v>180927.08</v>
      </c>
      <c r="F104" s="75">
        <f t="shared" si="1"/>
        <v>180927.08</v>
      </c>
      <c r="G104" s="63">
        <f>75240.51-47835.56+13006.98</f>
        <v>40411.929999999993</v>
      </c>
    </row>
    <row r="105" spans="2:8" ht="30" customHeight="1" x14ac:dyDescent="0.25">
      <c r="B105" s="174" t="s">
        <v>86</v>
      </c>
      <c r="C105" s="175"/>
      <c r="D105" s="61">
        <f>52731.8-4166.81</f>
        <v>48564.990000000005</v>
      </c>
      <c r="E105" s="61">
        <v>46373.98</v>
      </c>
      <c r="F105" s="75">
        <f t="shared" si="1"/>
        <v>46373.98</v>
      </c>
      <c r="G105" s="63">
        <f>18757.04-12141.18+4021.41</f>
        <v>10637.27</v>
      </c>
    </row>
    <row r="106" spans="2:8" x14ac:dyDescent="0.25">
      <c r="B106" s="174" t="s">
        <v>87</v>
      </c>
      <c r="C106" s="175"/>
      <c r="D106" s="61">
        <f>-30.98+631501.63</f>
        <v>631470.65</v>
      </c>
      <c r="E106" s="61">
        <f>14776.14+643979.99</f>
        <v>658756.13</v>
      </c>
      <c r="F106" s="75">
        <f t="shared" si="1"/>
        <v>658756.13</v>
      </c>
      <c r="G106" s="63">
        <f>12307.74+204689.07-157874.41</f>
        <v>59122.399999999994</v>
      </c>
    </row>
    <row r="107" spans="2:8" x14ac:dyDescent="0.25">
      <c r="B107" s="174" t="s">
        <v>88</v>
      </c>
      <c r="C107" s="175"/>
      <c r="D107" s="61">
        <f>37525.96-1413.3</f>
        <v>36112.659999999996</v>
      </c>
      <c r="E107" s="61">
        <v>32853.71</v>
      </c>
      <c r="F107" s="75">
        <f t="shared" si="1"/>
        <v>32853.71</v>
      </c>
      <c r="G107" s="63">
        <f>14799.76-9028.12+1579.95</f>
        <v>7351.5899999999992</v>
      </c>
    </row>
    <row r="108" spans="2:8" x14ac:dyDescent="0.25">
      <c r="B108" s="174" t="s">
        <v>150</v>
      </c>
      <c r="C108" s="175"/>
      <c r="D108" s="61">
        <v>95970</v>
      </c>
      <c r="E108" s="61">
        <f>100333.52+1222.61</f>
        <v>101556.13</v>
      </c>
      <c r="F108" s="75">
        <f t="shared" si="1"/>
        <v>101556.13</v>
      </c>
      <c r="G108" s="63">
        <f>32298.91+335.38-23590</f>
        <v>9044.2900000000009</v>
      </c>
    </row>
    <row r="109" spans="2:8" x14ac:dyDescent="0.25">
      <c r="B109" s="174" t="s">
        <v>89</v>
      </c>
      <c r="C109" s="175"/>
      <c r="D109" s="61">
        <v>81400</v>
      </c>
      <c r="E109" s="61">
        <v>83235.98</v>
      </c>
      <c r="F109" s="75">
        <f t="shared" si="1"/>
        <v>83235.98</v>
      </c>
      <c r="G109" s="63">
        <f>28511.5-20350</f>
        <v>8161.5</v>
      </c>
    </row>
    <row r="110" spans="2:8" ht="30" x14ac:dyDescent="0.25">
      <c r="B110" s="59" t="s">
        <v>81</v>
      </c>
      <c r="C110" s="60"/>
      <c r="D110" s="61"/>
      <c r="E110" s="61">
        <f>1361.91+38743.95+105.55</f>
        <v>40211.410000000003</v>
      </c>
      <c r="F110" s="75">
        <f t="shared" si="1"/>
        <v>40211.410000000003</v>
      </c>
      <c r="G110" s="63">
        <f>-1171.68+2786.44+148.46</f>
        <v>1763.22</v>
      </c>
    </row>
    <row r="111" spans="2:8" ht="18.75" customHeight="1" x14ac:dyDescent="0.25">
      <c r="B111" s="202" t="s">
        <v>90</v>
      </c>
      <c r="C111" s="203"/>
      <c r="D111" s="65">
        <f>SUM(D102:D110)</f>
        <v>2073383.0599999998</v>
      </c>
      <c r="E111" s="65">
        <f>SUM(E102:E110)</f>
        <v>1950462.5099999995</v>
      </c>
      <c r="F111" s="61">
        <f>E111</f>
        <v>1950462.5099999995</v>
      </c>
      <c r="G111" s="65">
        <f>SUM(G102:G110)</f>
        <v>283912.80999999994</v>
      </c>
    </row>
    <row r="112" spans="2:8" x14ac:dyDescent="0.25">
      <c r="B112" s="202" t="s">
        <v>91</v>
      </c>
      <c r="C112" s="203"/>
      <c r="D112" s="70">
        <f>D111+F123+E38+C146</f>
        <v>18215116.280000001</v>
      </c>
      <c r="E112" s="70">
        <f>E111+G123+F38+D146</f>
        <v>15808365.960000001</v>
      </c>
      <c r="F112" s="70">
        <f>E112</f>
        <v>15808365.960000001</v>
      </c>
      <c r="G112" s="70">
        <f>G38+G111+H123+F146</f>
        <v>2832030.5300000003</v>
      </c>
    </row>
    <row r="113" spans="2:8" x14ac:dyDescent="0.25">
      <c r="B113" s="16"/>
      <c r="C113" s="16"/>
      <c r="D113" s="16"/>
      <c r="E113" s="17"/>
      <c r="F113" s="17"/>
      <c r="G113" s="17"/>
      <c r="H113" s="17"/>
    </row>
    <row r="114" spans="2:8" x14ac:dyDescent="0.25">
      <c r="B114" s="204" t="s">
        <v>92</v>
      </c>
      <c r="C114" s="201"/>
      <c r="D114" s="201"/>
      <c r="E114" s="201"/>
      <c r="F114" s="201"/>
    </row>
    <row r="115" spans="2:8" ht="38.25" customHeight="1" x14ac:dyDescent="0.25">
      <c r="B115" s="194" t="s">
        <v>29</v>
      </c>
      <c r="C115" s="194" t="s">
        <v>93</v>
      </c>
      <c r="D115" s="194"/>
      <c r="E115" s="205" t="s">
        <v>94</v>
      </c>
      <c r="F115" s="194" t="s">
        <v>30</v>
      </c>
      <c r="G115" s="194" t="s">
        <v>31</v>
      </c>
      <c r="H115" s="195" t="s">
        <v>95</v>
      </c>
    </row>
    <row r="116" spans="2:8" ht="35.25" customHeight="1" x14ac:dyDescent="0.25">
      <c r="B116" s="194"/>
      <c r="C116" s="66" t="s">
        <v>96</v>
      </c>
      <c r="D116" s="19" t="s">
        <v>97</v>
      </c>
      <c r="E116" s="205"/>
      <c r="F116" s="194"/>
      <c r="G116" s="194"/>
      <c r="H116" s="195"/>
    </row>
    <row r="117" spans="2:8" x14ac:dyDescent="0.25">
      <c r="B117" s="10" t="s">
        <v>98</v>
      </c>
      <c r="C117" s="61">
        <v>1400.08</v>
      </c>
      <c r="D117" s="42">
        <v>1439.26</v>
      </c>
      <c r="E117" s="110">
        <v>2728.92</v>
      </c>
      <c r="F117" s="61">
        <f>-4018.16+3927272.14-177306.73</f>
        <v>3745947.25</v>
      </c>
      <c r="G117" s="61">
        <f>205035.34+1837006.51</f>
        <v>2042041.85</v>
      </c>
      <c r="H117" s="61">
        <f>93874.51+2076362.11-1633262.97+854.31</f>
        <v>537827.9600000002</v>
      </c>
    </row>
    <row r="118" spans="2:8" x14ac:dyDescent="0.25">
      <c r="B118" s="10" t="s">
        <v>147</v>
      </c>
      <c r="C118" s="61">
        <v>22.15</v>
      </c>
      <c r="D118" s="42">
        <v>26.44</v>
      </c>
      <c r="E118" s="110">
        <v>13685</v>
      </c>
      <c r="F118" s="61">
        <f>1082384.12+20862.36+95575.27-2881.69-2006.84-9931.92</f>
        <v>1184001.3000000003</v>
      </c>
      <c r="G118" s="61">
        <f>817201.06+81189.49+12579.55-6778.59</f>
        <v>904191.51000000013</v>
      </c>
      <c r="H118" s="61">
        <f>534150.22+309792.16-385081.67-4862.11-46310.92+8413.71</f>
        <v>416101.38999999996</v>
      </c>
    </row>
    <row r="119" spans="2:8" x14ac:dyDescent="0.25">
      <c r="B119" s="10" t="s">
        <v>99</v>
      </c>
      <c r="C119" s="61">
        <v>18.43</v>
      </c>
      <c r="D119" s="42">
        <v>19.22</v>
      </c>
      <c r="E119" s="110">
        <v>23541</v>
      </c>
      <c r="F119" s="61">
        <f>69233.22-6087.44+21127.52+1175.59+386587.15+5210.02+238886.17+3429.91</f>
        <v>719562.14000000013</v>
      </c>
      <c r="G119" s="61">
        <f>56204.99+26478.79+421797.06+227152.28</f>
        <v>731633.12</v>
      </c>
      <c r="H119" s="61">
        <f>145318.07+55911.76+140019.85+85188.07-93021.41-774.26-66224.59-1689.4-7964.38+1178.01-12169.34+898.71</f>
        <v>246671.09000000008</v>
      </c>
    </row>
    <row r="120" spans="2:8" x14ac:dyDescent="0.25">
      <c r="B120" s="10" t="s">
        <v>100</v>
      </c>
      <c r="C120" s="61">
        <v>12.31</v>
      </c>
      <c r="D120" s="42">
        <v>12.84</v>
      </c>
      <c r="E120" s="110">
        <v>35837.040000000001</v>
      </c>
      <c r="F120" s="61">
        <f>417849.62+6400.47-433.11</f>
        <v>423816.98</v>
      </c>
      <c r="G120" s="61">
        <f>435395.88+4605.05</f>
        <v>440000.93</v>
      </c>
      <c r="H120" s="61">
        <f>158573.39+28515.4-106385.01-1645.18</f>
        <v>79058.60000000002</v>
      </c>
    </row>
    <row r="121" spans="2:8" x14ac:dyDescent="0.25">
      <c r="B121" s="10" t="s">
        <v>101</v>
      </c>
      <c r="C121" s="61" t="s">
        <v>145</v>
      </c>
      <c r="D121" s="42" t="s">
        <v>146</v>
      </c>
      <c r="E121" s="110">
        <v>403947.52000000002</v>
      </c>
      <c r="F121" s="61">
        <f>297759.07+6764.73+1270080.63-6477.04</f>
        <v>1568127.39</v>
      </c>
      <c r="G121" s="61">
        <f>279766.11+1279314.37+1004.68</f>
        <v>1560085.16</v>
      </c>
      <c r="H121" s="61">
        <f>561810.9+423030.52-1031.5-328742.93+2648.52-66465.31-4395.25</f>
        <v>586854.94999999995</v>
      </c>
    </row>
    <row r="122" spans="2:8" x14ac:dyDescent="0.25">
      <c r="B122" s="10" t="s">
        <v>102</v>
      </c>
      <c r="C122" s="61">
        <v>2.2999999999999998</v>
      </c>
      <c r="D122" s="42">
        <v>2.39</v>
      </c>
      <c r="E122" s="110">
        <v>59294.98</v>
      </c>
      <c r="F122" s="61">
        <f>202014.04-391.38</f>
        <v>201622.66</v>
      </c>
      <c r="G122" s="61">
        <v>207692.44</v>
      </c>
      <c r="H122" s="61">
        <f>64412.53-52332.98-29.6</f>
        <v>12049.949999999995</v>
      </c>
    </row>
    <row r="123" spans="2:8" x14ac:dyDescent="0.25">
      <c r="B123" s="11" t="s">
        <v>103</v>
      </c>
      <c r="C123" s="65"/>
      <c r="D123" s="42"/>
      <c r="E123" s="4"/>
      <c r="F123" s="65">
        <f>SUM(F117:F122)</f>
        <v>7843077.7200000016</v>
      </c>
      <c r="G123" s="65">
        <f>SUM(G117:G122)</f>
        <v>5885645.0100000007</v>
      </c>
      <c r="H123" s="65">
        <f>SUM(H117:H122)</f>
        <v>1878563.9400000002</v>
      </c>
    </row>
    <row r="124" spans="2:8" x14ac:dyDescent="0.25">
      <c r="B124" s="16"/>
      <c r="C124" s="16"/>
      <c r="D124" s="16"/>
      <c r="E124" s="17"/>
      <c r="F124" s="17"/>
      <c r="G124" s="17"/>
      <c r="H124" s="17"/>
    </row>
    <row r="125" spans="2:8" x14ac:dyDescent="0.25">
      <c r="B125" s="16"/>
      <c r="C125" s="16" t="s">
        <v>244</v>
      </c>
      <c r="D125" s="16"/>
      <c r="E125" s="17"/>
      <c r="F125" s="17"/>
      <c r="G125" s="17"/>
      <c r="H125" s="17"/>
    </row>
    <row r="126" spans="2:8" x14ac:dyDescent="0.25">
      <c r="B126" s="137" t="s">
        <v>228</v>
      </c>
      <c r="C126" s="137" t="s">
        <v>229</v>
      </c>
      <c r="D126" s="137"/>
      <c r="E126" s="131" t="s">
        <v>230</v>
      </c>
      <c r="F126" s="17"/>
      <c r="G126" s="17"/>
      <c r="H126" s="17"/>
    </row>
    <row r="127" spans="2:8" x14ac:dyDescent="0.25">
      <c r="B127" s="133" t="s">
        <v>231</v>
      </c>
      <c r="C127" s="199">
        <v>22</v>
      </c>
      <c r="D127" s="200"/>
      <c r="E127" s="105">
        <v>100</v>
      </c>
      <c r="F127" s="17"/>
      <c r="G127" s="17"/>
      <c r="H127" s="17"/>
    </row>
    <row r="128" spans="2:8" x14ac:dyDescent="0.25">
      <c r="B128" s="133" t="s">
        <v>232</v>
      </c>
      <c r="C128" s="199">
        <v>31</v>
      </c>
      <c r="D128" s="200"/>
      <c r="E128" s="105">
        <v>100</v>
      </c>
      <c r="F128" s="17"/>
      <c r="G128" s="17"/>
      <c r="H128" s="17"/>
    </row>
    <row r="129" spans="2:8" x14ac:dyDescent="0.25">
      <c r="B129" s="133" t="s">
        <v>233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234</v>
      </c>
      <c r="C130" s="199">
        <v>4</v>
      </c>
      <c r="D130" s="200"/>
      <c r="E130" s="105">
        <v>100</v>
      </c>
      <c r="F130" s="17"/>
      <c r="G130" s="17"/>
      <c r="H130" s="17"/>
    </row>
    <row r="131" spans="2:8" x14ac:dyDescent="0.25">
      <c r="B131" s="133" t="s">
        <v>235</v>
      </c>
      <c r="C131" s="199">
        <v>1</v>
      </c>
      <c r="D131" s="200"/>
      <c r="E131" s="105">
        <v>100</v>
      </c>
      <c r="F131" s="17"/>
      <c r="G131" s="17"/>
      <c r="H131" s="17"/>
    </row>
    <row r="132" spans="2:8" x14ac:dyDescent="0.25">
      <c r="B132" s="133" t="s">
        <v>236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70</v>
      </c>
      <c r="C133" s="199">
        <v>14</v>
      </c>
      <c r="D133" s="200"/>
      <c r="E133" s="105">
        <v>100</v>
      </c>
      <c r="F133" s="17"/>
      <c r="G133" s="17"/>
      <c r="H133" s="17"/>
    </row>
    <row r="134" spans="2:8" x14ac:dyDescent="0.25">
      <c r="B134" s="133" t="s">
        <v>237</v>
      </c>
      <c r="C134" s="199"/>
      <c r="D134" s="200"/>
      <c r="E134" s="129"/>
      <c r="F134" s="17"/>
      <c r="G134" s="17"/>
      <c r="H134" s="17"/>
    </row>
    <row r="135" spans="2:8" x14ac:dyDescent="0.25">
      <c r="B135" s="133" t="s">
        <v>238</v>
      </c>
      <c r="C135" s="199"/>
      <c r="D135" s="200"/>
      <c r="E135" s="129"/>
      <c r="F135" s="17"/>
      <c r="G135" s="17"/>
      <c r="H135" s="17"/>
    </row>
    <row r="136" spans="2:8" x14ac:dyDescent="0.25">
      <c r="B136" s="133" t="s">
        <v>239</v>
      </c>
      <c r="C136" s="199"/>
      <c r="D136" s="200"/>
      <c r="E136" s="129"/>
      <c r="F136" s="17"/>
      <c r="G136" s="17"/>
      <c r="H136" s="17"/>
    </row>
    <row r="137" spans="2:8" x14ac:dyDescent="0.25">
      <c r="B137" s="133" t="s">
        <v>240</v>
      </c>
      <c r="C137" s="199"/>
      <c r="D137" s="200"/>
      <c r="E137" s="129"/>
      <c r="F137" s="17"/>
      <c r="G137" s="17"/>
      <c r="H137" s="17"/>
    </row>
    <row r="138" spans="2:8" x14ac:dyDescent="0.25">
      <c r="B138" s="133" t="s">
        <v>241</v>
      </c>
      <c r="C138" s="199"/>
      <c r="D138" s="200"/>
      <c r="E138" s="129"/>
      <c r="F138" s="17"/>
      <c r="G138" s="17"/>
      <c r="H138" s="17"/>
    </row>
    <row r="139" spans="2:8" x14ac:dyDescent="0.25">
      <c r="B139" s="133" t="s">
        <v>242</v>
      </c>
      <c r="C139" s="199"/>
      <c r="D139" s="200"/>
      <c r="E139" s="129"/>
      <c r="F139" s="17"/>
      <c r="G139" s="17"/>
      <c r="H139" s="17"/>
    </row>
    <row r="140" spans="2:8" x14ac:dyDescent="0.25">
      <c r="B140" s="133" t="s">
        <v>243</v>
      </c>
      <c r="C140" s="199"/>
      <c r="D140" s="200"/>
      <c r="E140" s="129"/>
      <c r="F140" s="17"/>
      <c r="G140" s="17"/>
      <c r="H140" s="17"/>
    </row>
    <row r="141" spans="2:8" x14ac:dyDescent="0.25">
      <c r="B141" s="139" t="s">
        <v>103</v>
      </c>
      <c r="C141" s="245">
        <f>SUM(C127:C140)</f>
        <v>72</v>
      </c>
      <c r="D141" s="246"/>
      <c r="E141" s="145">
        <v>100</v>
      </c>
      <c r="F141" s="9"/>
      <c r="G141" s="9"/>
      <c r="H141" s="17"/>
    </row>
    <row r="142" spans="2:8" x14ac:dyDescent="0.25">
      <c r="B142" s="12"/>
      <c r="C142" s="12"/>
      <c r="D142" s="9"/>
      <c r="E142" s="9"/>
      <c r="F142" s="9"/>
      <c r="G142" s="9"/>
    </row>
    <row r="143" spans="2:8" ht="44.25" customHeight="1" x14ac:dyDescent="0.25">
      <c r="B143" s="33"/>
      <c r="C143" s="136" t="s">
        <v>30</v>
      </c>
      <c r="D143" s="136" t="s">
        <v>31</v>
      </c>
      <c r="E143" s="135" t="s">
        <v>104</v>
      </c>
      <c r="F143" s="135" t="s">
        <v>32</v>
      </c>
    </row>
    <row r="144" spans="2:8" x14ac:dyDescent="0.25">
      <c r="B144" s="32" t="s">
        <v>105</v>
      </c>
      <c r="C144" s="132">
        <f>1143679-46512.5</f>
        <v>1097166.5</v>
      </c>
      <c r="D144" s="132">
        <f>987228.59+208.21+9.42</f>
        <v>987446.22</v>
      </c>
      <c r="E144" s="132"/>
      <c r="F144" s="134">
        <f>453534.48+659.92+44.22-274226.5+49374</f>
        <v>229386.11999999994</v>
      </c>
    </row>
    <row r="145" spans="2:6" x14ac:dyDescent="0.25">
      <c r="B145" s="32" t="s">
        <v>106</v>
      </c>
      <c r="C145" s="132">
        <f>30501.09-491.7</f>
        <v>30009.39</v>
      </c>
      <c r="D145" s="132">
        <f>4091.56+38571.11</f>
        <v>42662.67</v>
      </c>
      <c r="E145" s="132"/>
      <c r="F145" s="134">
        <f>0.67+13629.64-7563.81</f>
        <v>6066.4999999999991</v>
      </c>
    </row>
    <row r="146" spans="2:6" x14ac:dyDescent="0.25">
      <c r="B146" s="33" t="s">
        <v>107</v>
      </c>
      <c r="C146" s="136">
        <f>SUM(C144:C145)</f>
        <v>1127175.8899999999</v>
      </c>
      <c r="D146" s="136">
        <f>SUM(D144:D145)</f>
        <v>1030108.89</v>
      </c>
      <c r="E146" s="136"/>
      <c r="F146" s="136">
        <f>SUM(F144:F145)</f>
        <v>235452.61999999994</v>
      </c>
    </row>
    <row r="148" spans="2:6" x14ac:dyDescent="0.25">
      <c r="B148" s="177" t="s">
        <v>108</v>
      </c>
      <c r="C148" s="178"/>
      <c r="D148" s="179"/>
      <c r="E148" s="251">
        <f>G112</f>
        <v>2832030.5300000003</v>
      </c>
      <c r="F148" s="252"/>
    </row>
    <row r="150" spans="2:6" x14ac:dyDescent="0.25">
      <c r="B150" s="177" t="s">
        <v>109</v>
      </c>
      <c r="C150" s="178"/>
      <c r="D150" s="179"/>
      <c r="E150" s="249"/>
      <c r="F150" s="250"/>
    </row>
    <row r="151" spans="2:6" x14ac:dyDescent="0.25">
      <c r="B151" s="181" t="s">
        <v>110</v>
      </c>
      <c r="C151" s="182"/>
      <c r="D151" s="183"/>
      <c r="E151" s="249"/>
      <c r="F151" s="250"/>
    </row>
    <row r="152" spans="2:6" x14ac:dyDescent="0.25">
      <c r="B152" s="181" t="s">
        <v>111</v>
      </c>
      <c r="C152" s="182"/>
      <c r="D152" s="183"/>
      <c r="E152" s="249"/>
      <c r="F152" s="250"/>
    </row>
    <row r="153" spans="2:6" x14ac:dyDescent="0.25">
      <c r="B153" s="181" t="s">
        <v>112</v>
      </c>
      <c r="C153" s="182"/>
      <c r="D153" s="183"/>
      <c r="E153" s="249"/>
      <c r="F153" s="250"/>
    </row>
    <row r="154" spans="2:6" x14ac:dyDescent="0.25">
      <c r="B154" s="181" t="s">
        <v>113</v>
      </c>
      <c r="C154" s="182"/>
      <c r="D154" s="183"/>
      <c r="E154" s="249"/>
      <c r="F154" s="250"/>
    </row>
    <row r="156" spans="2:6" x14ac:dyDescent="0.25">
      <c r="B156" s="177" t="s">
        <v>114</v>
      </c>
      <c r="C156" s="178"/>
      <c r="D156" s="179"/>
      <c r="E156" s="249"/>
      <c r="F156" s="250"/>
    </row>
    <row r="158" spans="2:6" ht="15" hidden="1" customHeight="1" x14ac:dyDescent="0.25">
      <c r="B158" s="181" t="s">
        <v>123</v>
      </c>
      <c r="C158" s="183"/>
      <c r="D158" s="132" t="s">
        <v>124</v>
      </c>
      <c r="E158" s="253" t="s">
        <v>122</v>
      </c>
      <c r="F158" s="254"/>
    </row>
    <row r="159" spans="2:6" hidden="1" x14ac:dyDescent="0.25">
      <c r="B159" s="181" t="s">
        <v>125</v>
      </c>
      <c r="C159" s="183"/>
      <c r="D159" s="61" t="s">
        <v>126</v>
      </c>
      <c r="E159" s="176" t="s">
        <v>122</v>
      </c>
      <c r="F159" s="176"/>
    </row>
    <row r="160" spans="2:6" ht="30" hidden="1" customHeight="1" x14ac:dyDescent="0.25">
      <c r="B160" s="174" t="s">
        <v>127</v>
      </c>
      <c r="C160" s="175"/>
      <c r="D160" s="61" t="s">
        <v>128</v>
      </c>
      <c r="E160" s="176" t="s">
        <v>122</v>
      </c>
      <c r="F160" s="176"/>
    </row>
    <row r="161" spans="2:8" ht="30" hidden="1" customHeight="1" x14ac:dyDescent="0.25">
      <c r="B161" s="174" t="s">
        <v>129</v>
      </c>
      <c r="C161" s="175"/>
      <c r="D161" s="61" t="s">
        <v>130</v>
      </c>
      <c r="E161" s="176"/>
      <c r="F161" s="176"/>
    </row>
    <row r="162" spans="2:8" ht="30" hidden="1" x14ac:dyDescent="0.25">
      <c r="B162" s="174" t="s">
        <v>131</v>
      </c>
      <c r="C162" s="175"/>
      <c r="D162" s="24" t="s">
        <v>132</v>
      </c>
      <c r="E162" s="176" t="s">
        <v>133</v>
      </c>
      <c r="F162" s="176"/>
    </row>
    <row r="163" spans="2:8" hidden="1" x14ac:dyDescent="0.25">
      <c r="B163" s="181" t="s">
        <v>134</v>
      </c>
      <c r="C163" s="183"/>
      <c r="D163" s="10" t="s">
        <v>135</v>
      </c>
      <c r="E163" s="176"/>
      <c r="F163" s="176"/>
    </row>
    <row r="164" spans="2:8" ht="30" hidden="1" customHeight="1" x14ac:dyDescent="0.25">
      <c r="B164" s="174" t="s">
        <v>136</v>
      </c>
      <c r="C164" s="175"/>
      <c r="D164" s="10" t="s">
        <v>137</v>
      </c>
      <c r="E164" s="176"/>
      <c r="F164" s="176"/>
    </row>
    <row r="165" spans="2:8" ht="30" hidden="1" customHeight="1" x14ac:dyDescent="0.25">
      <c r="B165" s="174" t="s">
        <v>138</v>
      </c>
      <c r="C165" s="175"/>
      <c r="D165" s="61" t="s">
        <v>139</v>
      </c>
      <c r="E165" s="176"/>
      <c r="F165" s="176"/>
    </row>
    <row r="166" spans="2:8" x14ac:dyDescent="0.25">
      <c r="B166" s="177" t="s">
        <v>74</v>
      </c>
      <c r="C166" s="178"/>
      <c r="D166" s="179"/>
      <c r="E166" s="180"/>
      <c r="F166" s="180"/>
      <c r="G166" s="25"/>
      <c r="H166" s="25"/>
    </row>
    <row r="167" spans="2:8" x14ac:dyDescent="0.25">
      <c r="B167" s="181" t="s">
        <v>75</v>
      </c>
      <c r="C167" s="182"/>
      <c r="D167" s="183"/>
      <c r="E167" s="176"/>
      <c r="F167" s="176"/>
      <c r="G167" s="26"/>
      <c r="H167" s="26"/>
    </row>
    <row r="168" spans="2:8" x14ac:dyDescent="0.25">
      <c r="B168" s="181" t="s">
        <v>76</v>
      </c>
      <c r="C168" s="182"/>
      <c r="D168" s="183"/>
      <c r="E168" s="184"/>
      <c r="F168" s="184"/>
      <c r="G168" s="27"/>
      <c r="H168" s="27"/>
    </row>
    <row r="169" spans="2:8" x14ac:dyDescent="0.25">
      <c r="B169" s="181" t="s">
        <v>77</v>
      </c>
      <c r="C169" s="182"/>
      <c r="D169" s="183"/>
      <c r="E169" s="184"/>
      <c r="F169" s="184"/>
      <c r="G169" s="27"/>
      <c r="H169" s="27"/>
    </row>
    <row r="170" spans="2:8" x14ac:dyDescent="0.25">
      <c r="B170" s="177" t="s">
        <v>78</v>
      </c>
      <c r="C170" s="178"/>
      <c r="D170" s="179"/>
      <c r="E170" s="180"/>
      <c r="F170" s="180"/>
      <c r="G170" s="25"/>
      <c r="H170" s="25"/>
    </row>
    <row r="171" spans="2:8" x14ac:dyDescent="0.25">
      <c r="B171" s="181" t="s">
        <v>79</v>
      </c>
      <c r="C171" s="182"/>
      <c r="D171" s="183"/>
      <c r="E171" s="184"/>
      <c r="F171" s="184"/>
      <c r="G171" s="27"/>
      <c r="H171" s="27"/>
    </row>
    <row r="172" spans="2:8" x14ac:dyDescent="0.25">
      <c r="B172" s="177" t="s">
        <v>80</v>
      </c>
      <c r="C172" s="178"/>
      <c r="D172" s="179"/>
      <c r="E172" s="184"/>
      <c r="F172" s="184"/>
      <c r="G172" s="27"/>
      <c r="H172" s="27"/>
    </row>
    <row r="173" spans="2:8" x14ac:dyDescent="0.25">
      <c r="B173" s="16"/>
      <c r="C173" s="16"/>
      <c r="D173" s="16"/>
      <c r="E173" s="17"/>
      <c r="F173" s="17"/>
      <c r="G173" s="17"/>
      <c r="H173" s="17"/>
    </row>
    <row r="174" spans="2:8" ht="36" customHeight="1" x14ac:dyDescent="0.25">
      <c r="B174" s="185" t="s">
        <v>115</v>
      </c>
      <c r="C174" s="186"/>
      <c r="D174" s="186"/>
      <c r="E174" s="186"/>
      <c r="F174" s="21" t="s">
        <v>116</v>
      </c>
    </row>
    <row r="175" spans="2:8" ht="14.45" customHeight="1" x14ac:dyDescent="0.25">
      <c r="B175" s="187" t="s">
        <v>117</v>
      </c>
      <c r="C175" s="188" t="s">
        <v>118</v>
      </c>
      <c r="D175" s="190" t="s">
        <v>119</v>
      </c>
      <c r="E175" s="191"/>
      <c r="F175" s="4"/>
    </row>
    <row r="176" spans="2:8" x14ac:dyDescent="0.25">
      <c r="B176" s="187"/>
      <c r="C176" s="189"/>
      <c r="D176" s="62" t="s">
        <v>120</v>
      </c>
      <c r="E176" s="62" t="s">
        <v>121</v>
      </c>
      <c r="F176" s="4"/>
    </row>
    <row r="177" spans="2:7" x14ac:dyDescent="0.25">
      <c r="B177" s="115"/>
      <c r="C177" s="124"/>
      <c r="D177" s="115"/>
      <c r="E177" s="115"/>
      <c r="F177" s="4"/>
    </row>
    <row r="178" spans="2:7" x14ac:dyDescent="0.25">
      <c r="B178" s="115"/>
      <c r="C178" s="115"/>
      <c r="D178" s="115"/>
      <c r="E178" s="115"/>
      <c r="F178" s="4"/>
    </row>
    <row r="179" spans="2:7" x14ac:dyDescent="0.25">
      <c r="B179" s="126"/>
      <c r="C179" s="126"/>
      <c r="D179" s="126"/>
      <c r="E179" s="126"/>
      <c r="F179" s="121"/>
      <c r="G179" s="121"/>
    </row>
    <row r="180" spans="2:7" x14ac:dyDescent="0.25">
      <c r="B180" s="120" t="s">
        <v>247</v>
      </c>
      <c r="C180" s="120"/>
      <c r="D180" s="121" t="s">
        <v>248</v>
      </c>
      <c r="E180" s="121"/>
      <c r="F180" s="121"/>
      <c r="G180" s="121"/>
    </row>
    <row r="181" spans="2:7" x14ac:dyDescent="0.25">
      <c r="B181" s="120"/>
      <c r="C181" s="120"/>
      <c r="D181" s="121"/>
      <c r="E181" s="121"/>
      <c r="F181" s="121"/>
      <c r="G181" s="121"/>
    </row>
  </sheetData>
  <mergeCells count="188">
    <mergeCell ref="B171:D171"/>
    <mergeCell ref="E171:F171"/>
    <mergeCell ref="B172:D172"/>
    <mergeCell ref="E172:F172"/>
    <mergeCell ref="B174:E174"/>
    <mergeCell ref="B175:B176"/>
    <mergeCell ref="C175:C176"/>
    <mergeCell ref="D175:E175"/>
    <mergeCell ref="B168:D168"/>
    <mergeCell ref="E168:F168"/>
    <mergeCell ref="B169:D169"/>
    <mergeCell ref="E169:F169"/>
    <mergeCell ref="B170:D170"/>
    <mergeCell ref="E170:F170"/>
    <mergeCell ref="B165:C165"/>
    <mergeCell ref="E165:F165"/>
    <mergeCell ref="B166:D166"/>
    <mergeCell ref="E166:F166"/>
    <mergeCell ref="B167:D167"/>
    <mergeCell ref="E167:F167"/>
    <mergeCell ref="B162:C162"/>
    <mergeCell ref="E162:F162"/>
    <mergeCell ref="B163:C163"/>
    <mergeCell ref="E163:F163"/>
    <mergeCell ref="B164:C164"/>
    <mergeCell ref="E164:F164"/>
    <mergeCell ref="B159:C159"/>
    <mergeCell ref="E159:F159"/>
    <mergeCell ref="B160:C160"/>
    <mergeCell ref="E160:F160"/>
    <mergeCell ref="B161:C161"/>
    <mergeCell ref="E161:F161"/>
    <mergeCell ref="B154:D154"/>
    <mergeCell ref="E154:F154"/>
    <mergeCell ref="B156:D156"/>
    <mergeCell ref="E156:F156"/>
    <mergeCell ref="B158:C158"/>
    <mergeCell ref="E158:F158"/>
    <mergeCell ref="B152:D152"/>
    <mergeCell ref="E152:F152"/>
    <mergeCell ref="B153:D153"/>
    <mergeCell ref="E153:F153"/>
    <mergeCell ref="G115:G116"/>
    <mergeCell ref="H115:H116"/>
    <mergeCell ref="B148:D148"/>
    <mergeCell ref="E148:F148"/>
    <mergeCell ref="B150:D150"/>
    <mergeCell ref="E150:F150"/>
    <mergeCell ref="C127:D127"/>
    <mergeCell ref="C128:D128"/>
    <mergeCell ref="C138:D138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B109:C109"/>
    <mergeCell ref="B111:C111"/>
    <mergeCell ref="B112:C112"/>
    <mergeCell ref="B114:F114"/>
    <mergeCell ref="B115:B116"/>
    <mergeCell ref="C115:D115"/>
    <mergeCell ref="E115:E116"/>
    <mergeCell ref="F115:F116"/>
    <mergeCell ref="B151:D151"/>
    <mergeCell ref="E151:F151"/>
    <mergeCell ref="B102:C102"/>
    <mergeCell ref="B103:C103"/>
    <mergeCell ref="B104:C104"/>
    <mergeCell ref="B105:C105"/>
    <mergeCell ref="B106:C106"/>
    <mergeCell ref="B107:C107"/>
    <mergeCell ref="B100:G100"/>
    <mergeCell ref="B101:C101"/>
    <mergeCell ref="B108:C108"/>
    <mergeCell ref="B94:C94"/>
    <mergeCell ref="B95:C95"/>
    <mergeCell ref="B96:C96"/>
    <mergeCell ref="B97:C97"/>
    <mergeCell ref="B98:C98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B20:C21"/>
    <mergeCell ref="D20:D21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68:C68"/>
    <mergeCell ref="B69:C69"/>
    <mergeCell ref="C135:D135"/>
    <mergeCell ref="C136:D136"/>
    <mergeCell ref="C137:D137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</mergeCells>
  <pageMargins left="0.11811023622047245" right="0.11811023622047245" top="0.15748031496062992" bottom="0.15748031496062992" header="0.31496062992125984" footer="0.31496062992125984"/>
  <pageSetup paperSize="9" scale="54" orientation="portrait" r:id="rId1"/>
  <headerFooter alignWithMargins="0"/>
  <rowBreaks count="2" manualBreakCount="2">
    <brk id="78" max="7" man="1"/>
    <brk id="12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7"/>
  <sheetViews>
    <sheetView view="pageBreakPreview" topLeftCell="A5" zoomScale="70" zoomScaleSheetLayoutView="70" workbookViewId="0">
      <selection activeCell="E26" sqref="E26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6.8554687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203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204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11940.4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11892.8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47.6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11940.4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170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287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8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586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238842.43</v>
      </c>
      <c r="E22" s="7">
        <v>238842.43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4807740.76</v>
      </c>
      <c r="E23" s="45">
        <f>E38+D99+C143</f>
        <v>1999603.48</v>
      </c>
      <c r="F23" s="7">
        <f>D100+D101+D102+D103+D104+D105+D106+D107</f>
        <v>414890.08</v>
      </c>
      <c r="G23" s="7">
        <f>F114+F115+F116+F117+F118+F119</f>
        <v>2393247.2000000002</v>
      </c>
      <c r="H23" s="2"/>
    </row>
    <row r="24" spans="1:8" x14ac:dyDescent="0.25">
      <c r="B24" s="223" t="s">
        <v>24</v>
      </c>
      <c r="C24" s="224"/>
      <c r="D24" s="43">
        <f>E24+F24+G24</f>
        <v>4325628.13</v>
      </c>
      <c r="E24" s="45">
        <f>F38+E99+D141+D142</f>
        <v>1959567.07</v>
      </c>
      <c r="F24" s="7">
        <f>E100+E101+E103+E104+E107+E102+E105+E106</f>
        <v>437621.47999999986</v>
      </c>
      <c r="G24" s="7">
        <f>G120</f>
        <v>1928439.58</v>
      </c>
      <c r="H24" s="2"/>
    </row>
    <row r="25" spans="1:8" x14ac:dyDescent="0.25">
      <c r="B25" s="223" t="s">
        <v>25</v>
      </c>
      <c r="C25" s="224"/>
      <c r="D25" s="7">
        <f>E25+F25+G25</f>
        <v>5095733.93</v>
      </c>
      <c r="E25" s="7">
        <f>D143+2487793.6</f>
        <v>2729672.87</v>
      </c>
      <c r="F25" s="7">
        <f>F24</f>
        <v>437621.47999999986</v>
      </c>
      <c r="G25" s="7">
        <f>G24</f>
        <v>1928439.58</v>
      </c>
      <c r="H25" s="2"/>
    </row>
    <row r="26" spans="1:8" x14ac:dyDescent="0.25">
      <c r="B26" s="223" t="s">
        <v>255</v>
      </c>
      <c r="C26" s="224"/>
      <c r="D26" s="7">
        <f>E26+F26+G26</f>
        <v>1642255.75</v>
      </c>
      <c r="E26" s="45">
        <f>G38+G99+F143</f>
        <v>373822.52</v>
      </c>
      <c r="F26" s="45">
        <f>G108-G99</f>
        <v>152461.58000000002</v>
      </c>
      <c r="G26" s="45">
        <f>H120</f>
        <v>1115971.6499999999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212515.09</v>
      </c>
      <c r="F31" s="40">
        <v>210848.74</v>
      </c>
      <c r="G31" s="88">
        <f>48937.24-19385.43+23.93</f>
        <v>29575.739999999998</v>
      </c>
      <c r="H31" s="5"/>
    </row>
    <row r="32" spans="1:8" x14ac:dyDescent="0.25">
      <c r="B32" s="174" t="s">
        <v>34</v>
      </c>
      <c r="C32" s="212"/>
      <c r="D32" s="175"/>
      <c r="E32" s="88">
        <v>283242.53999999998</v>
      </c>
      <c r="F32" s="40">
        <v>283170.8</v>
      </c>
      <c r="G32" s="88">
        <f>64520.06-25212.68+32.34</f>
        <v>39339.719999999994</v>
      </c>
      <c r="H32" s="5"/>
    </row>
    <row r="33" spans="2:8" x14ac:dyDescent="0.25">
      <c r="B33" s="174" t="s">
        <v>35</v>
      </c>
      <c r="C33" s="212"/>
      <c r="D33" s="175"/>
      <c r="E33" s="88">
        <v>169881.87</v>
      </c>
      <c r="F33" s="40">
        <v>169460.1</v>
      </c>
      <c r="G33" s="88">
        <f>39514.02-15580.05+19.31</f>
        <v>23953.279999999999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409175.98</v>
      </c>
      <c r="F35" s="40">
        <v>408111.8</v>
      </c>
      <c r="G35" s="88">
        <f>93127.09-36419+46.2</f>
        <v>56754.289999999994</v>
      </c>
      <c r="H35" s="5"/>
    </row>
    <row r="36" spans="2:8" x14ac:dyDescent="0.25">
      <c r="B36" s="174" t="s">
        <v>38</v>
      </c>
      <c r="C36" s="212"/>
      <c r="D36" s="175"/>
      <c r="E36" s="88">
        <f>293871.89-7311.01</f>
        <v>286560.88</v>
      </c>
      <c r="F36" s="40">
        <f>288355.26-967.94</f>
        <v>287387.32</v>
      </c>
      <c r="G36" s="88">
        <f>52786.67+9240.28+9602.49-30567.45+29.21</f>
        <v>41091.200000000004</v>
      </c>
      <c r="H36" s="5"/>
    </row>
    <row r="37" spans="2:8" ht="30" customHeight="1" x14ac:dyDescent="0.25">
      <c r="B37" s="174" t="s">
        <v>39</v>
      </c>
      <c r="C37" s="212"/>
      <c r="D37" s="175"/>
      <c r="E37" s="88">
        <f>285086.73-7263.38</f>
        <v>277823.34999999998</v>
      </c>
      <c r="F37" s="40">
        <f>280190.33-1088.82</f>
        <v>279101.51</v>
      </c>
      <c r="G37" s="88">
        <f>56151.2+7621.93-24597.25+32.01</f>
        <v>39207.89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1639199.71</v>
      </c>
      <c r="F38" s="41">
        <f>SUM(F31:F37)</f>
        <v>1638080.27</v>
      </c>
      <c r="G38" s="41">
        <f>SUM(G31:G37)</f>
        <v>229922.12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665639.5</v>
      </c>
      <c r="G44" s="123"/>
      <c r="H44" s="123">
        <f>H45+H46+H47</f>
        <v>636248.87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v>212515.09</v>
      </c>
      <c r="G45" s="112"/>
      <c r="H45" s="105">
        <f>199161.8-27763.79</f>
        <v>171398.00999999998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v>283242.53999999998</v>
      </c>
      <c r="G46" s="112"/>
      <c r="H46" s="105">
        <f>327288.6-37846.25</f>
        <v>289442.34999999998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v>169881.87</v>
      </c>
      <c r="G47" s="112"/>
      <c r="H47" s="105">
        <f>197631.6-22223.09</f>
        <v>175408.51</v>
      </c>
    </row>
    <row r="48" spans="2:8" hidden="1" x14ac:dyDescent="0.25">
      <c r="B48" s="174" t="s">
        <v>36</v>
      </c>
      <c r="C48" s="175"/>
      <c r="D48" s="88"/>
      <c r="E48" s="10"/>
      <c r="F48" s="105"/>
      <c r="G48" s="112"/>
      <c r="H48" s="105">
        <f>F34</f>
        <v>0</v>
      </c>
    </row>
    <row r="49" spans="2:8" x14ac:dyDescent="0.25">
      <c r="B49" s="202" t="s">
        <v>65</v>
      </c>
      <c r="C49" s="203"/>
      <c r="D49" s="88"/>
      <c r="E49" s="10"/>
      <c r="F49" s="113"/>
      <c r="G49" s="112"/>
      <c r="H49" s="113"/>
    </row>
    <row r="50" spans="2:8" ht="30.75" customHeight="1" x14ac:dyDescent="0.25">
      <c r="B50" s="174" t="s">
        <v>66</v>
      </c>
      <c r="C50" s="175"/>
      <c r="D50" s="166" t="s">
        <v>266</v>
      </c>
      <c r="E50" s="166"/>
      <c r="F50" s="10"/>
      <c r="G50" s="166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472</v>
      </c>
      <c r="F51" s="151">
        <f>28707.41+3745+1250</f>
        <v>33702.410000000003</v>
      </c>
      <c r="G51" s="150" t="s">
        <v>472</v>
      </c>
      <c r="H51" s="151">
        <f>28707.41+3745+1250</f>
        <v>33702.410000000003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7252</v>
      </c>
      <c r="G52" s="166" t="s">
        <v>267</v>
      </c>
      <c r="H52" s="152">
        <v>7903.03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3250+10970.72</f>
        <v>14220.72</v>
      </c>
      <c r="G53" s="166" t="s">
        <v>267</v>
      </c>
      <c r="H53" s="152">
        <f>2723.17+10550.15</f>
        <v>13273.32</v>
      </c>
    </row>
    <row r="54" spans="2:8" ht="16.5" customHeight="1" x14ac:dyDescent="0.25">
      <c r="B54" s="208" t="s">
        <v>397</v>
      </c>
      <c r="C54" s="209"/>
      <c r="D54" s="150" t="s">
        <v>272</v>
      </c>
      <c r="E54" s="150" t="s">
        <v>412</v>
      </c>
      <c r="F54" s="151">
        <v>3534</v>
      </c>
      <c r="G54" s="150" t="s">
        <v>412</v>
      </c>
      <c r="H54" s="151">
        <v>3534</v>
      </c>
    </row>
    <row r="55" spans="2:8" x14ac:dyDescent="0.25">
      <c r="B55" s="208" t="s">
        <v>273</v>
      </c>
      <c r="C55" s="209"/>
      <c r="D55" s="153"/>
      <c r="E55" s="108"/>
      <c r="F55" s="154"/>
      <c r="G55" s="108"/>
      <c r="H55" s="154"/>
    </row>
    <row r="56" spans="2:8" x14ac:dyDescent="0.25">
      <c r="B56" s="239" t="s">
        <v>473</v>
      </c>
      <c r="C56" s="240"/>
      <c r="D56" s="108" t="s">
        <v>272</v>
      </c>
      <c r="E56" s="155" t="s">
        <v>474</v>
      </c>
      <c r="F56" s="156">
        <v>688862.24</v>
      </c>
      <c r="G56" s="155" t="s">
        <v>474</v>
      </c>
      <c r="H56" s="156">
        <v>688862.24</v>
      </c>
    </row>
    <row r="57" spans="2:8" x14ac:dyDescent="0.25">
      <c r="B57" s="239" t="s">
        <v>276</v>
      </c>
      <c r="C57" s="240"/>
      <c r="D57" s="108" t="s">
        <v>272</v>
      </c>
      <c r="E57" s="108"/>
      <c r="F57" s="156"/>
      <c r="G57" s="155"/>
      <c r="H57" s="156"/>
    </row>
    <row r="58" spans="2:8" x14ac:dyDescent="0.25">
      <c r="B58" s="239" t="s">
        <v>277</v>
      </c>
      <c r="C58" s="240"/>
      <c r="D58" s="108" t="s">
        <v>272</v>
      </c>
      <c r="E58" s="108"/>
      <c r="F58" s="157"/>
      <c r="G58" s="155"/>
      <c r="H58" s="156"/>
    </row>
    <row r="59" spans="2:8" x14ac:dyDescent="0.25">
      <c r="B59" s="239" t="s">
        <v>278</v>
      </c>
      <c r="C59" s="240"/>
      <c r="D59" s="108" t="s">
        <v>272</v>
      </c>
      <c r="E59" s="150" t="s">
        <v>475</v>
      </c>
      <c r="F59" s="158">
        <v>36000</v>
      </c>
      <c r="G59" s="159" t="s">
        <v>475</v>
      </c>
      <c r="H59" s="158">
        <v>36000</v>
      </c>
    </row>
    <row r="60" spans="2:8" x14ac:dyDescent="0.25">
      <c r="B60" s="241" t="s">
        <v>476</v>
      </c>
      <c r="C60" s="242"/>
      <c r="D60" s="108" t="s">
        <v>272</v>
      </c>
      <c r="E60" s="150"/>
      <c r="F60" s="160"/>
      <c r="G60" s="159" t="s">
        <v>477</v>
      </c>
      <c r="H60" s="158">
        <v>20982.080000000002</v>
      </c>
    </row>
    <row r="61" spans="2:8" x14ac:dyDescent="0.25">
      <c r="B61" s="208" t="s">
        <v>69</v>
      </c>
      <c r="C61" s="209"/>
      <c r="D61" s="108" t="s">
        <v>272</v>
      </c>
      <c r="E61" s="161" t="s">
        <v>478</v>
      </c>
      <c r="F61" s="152">
        <v>76770</v>
      </c>
      <c r="G61" s="161" t="s">
        <v>478</v>
      </c>
      <c r="H61" s="152">
        <v>76770</v>
      </c>
    </row>
    <row r="62" spans="2:8" x14ac:dyDescent="0.25">
      <c r="B62" s="208" t="s">
        <v>280</v>
      </c>
      <c r="C62" s="209"/>
      <c r="D62" s="108" t="s">
        <v>272</v>
      </c>
      <c r="E62" s="108"/>
      <c r="F62" s="154"/>
      <c r="G62" s="108"/>
      <c r="H62" s="152"/>
    </row>
    <row r="63" spans="2:8" x14ac:dyDescent="0.25">
      <c r="B63" s="208" t="s">
        <v>281</v>
      </c>
      <c r="C63" s="209"/>
      <c r="D63" s="150"/>
      <c r="E63" s="150"/>
      <c r="F63" s="151"/>
      <c r="G63" s="150"/>
      <c r="H63" s="151"/>
    </row>
    <row r="64" spans="2:8" x14ac:dyDescent="0.25">
      <c r="B64" s="208" t="s">
        <v>282</v>
      </c>
      <c r="C64" s="209"/>
      <c r="D64" s="153"/>
      <c r="E64" s="108"/>
      <c r="F64" s="154"/>
      <c r="G64" s="108"/>
      <c r="H64" s="154"/>
    </row>
    <row r="65" spans="2:11" ht="21.75" customHeight="1" x14ac:dyDescent="0.25">
      <c r="B65" s="208" t="s">
        <v>479</v>
      </c>
      <c r="C65" s="209"/>
      <c r="D65" s="150" t="s">
        <v>272</v>
      </c>
      <c r="E65" s="108"/>
      <c r="F65" s="154"/>
      <c r="G65" s="108" t="s">
        <v>480</v>
      </c>
      <c r="H65" s="151">
        <v>32000</v>
      </c>
    </row>
    <row r="66" spans="2:11" ht="17.25" customHeight="1" x14ac:dyDescent="0.25">
      <c r="B66" s="208" t="s">
        <v>305</v>
      </c>
      <c r="C66" s="209"/>
      <c r="D66" s="150"/>
      <c r="E66" s="150" t="s">
        <v>344</v>
      </c>
      <c r="F66" s="151">
        <v>2520</v>
      </c>
      <c r="G66" s="150" t="s">
        <v>344</v>
      </c>
      <c r="H66" s="151">
        <v>2520</v>
      </c>
    </row>
    <row r="67" spans="2:11" ht="19.5" customHeight="1" x14ac:dyDescent="0.25">
      <c r="B67" s="243" t="s">
        <v>50</v>
      </c>
      <c r="C67" s="244"/>
      <c r="D67" s="108"/>
      <c r="E67" s="108"/>
      <c r="F67" s="162"/>
      <c r="G67" s="163"/>
      <c r="H67" s="162"/>
    </row>
    <row r="68" spans="2:11" ht="36" customHeight="1" x14ac:dyDescent="0.25">
      <c r="B68" s="208" t="s">
        <v>51</v>
      </c>
      <c r="C68" s="209"/>
      <c r="D68" s="153" t="s">
        <v>284</v>
      </c>
      <c r="E68" s="108"/>
      <c r="F68" s="154"/>
      <c r="G68" s="108" t="s">
        <v>271</v>
      </c>
      <c r="H68" s="154"/>
    </row>
    <row r="69" spans="2:11" ht="36" customHeight="1" x14ac:dyDescent="0.25">
      <c r="B69" s="208" t="s">
        <v>52</v>
      </c>
      <c r="C69" s="209"/>
      <c r="D69" s="108" t="s">
        <v>285</v>
      </c>
      <c r="E69" s="108"/>
      <c r="F69" s="154"/>
      <c r="G69" s="108" t="s">
        <v>271</v>
      </c>
      <c r="H69" s="154"/>
    </row>
    <row r="70" spans="2:11" ht="42.75" customHeight="1" x14ac:dyDescent="0.25">
      <c r="B70" s="208" t="s">
        <v>53</v>
      </c>
      <c r="C70" s="209"/>
      <c r="D70" s="108" t="s">
        <v>286</v>
      </c>
      <c r="E70" s="108"/>
      <c r="F70" s="154"/>
      <c r="G70" s="108" t="s">
        <v>271</v>
      </c>
      <c r="H70" s="154"/>
    </row>
    <row r="71" spans="2:11" ht="85.5" customHeight="1" x14ac:dyDescent="0.25">
      <c r="B71" s="208" t="s">
        <v>54</v>
      </c>
      <c r="C71" s="209"/>
      <c r="D71" s="150" t="s">
        <v>266</v>
      </c>
      <c r="E71" s="150" t="s">
        <v>271</v>
      </c>
      <c r="F71" s="151">
        <v>21464.45</v>
      </c>
      <c r="G71" s="150" t="s">
        <v>271</v>
      </c>
      <c r="H71" s="151">
        <v>20677.2</v>
      </c>
    </row>
    <row r="72" spans="2:11" x14ac:dyDescent="0.25">
      <c r="B72" s="208" t="s">
        <v>55</v>
      </c>
      <c r="C72" s="209"/>
      <c r="D72" s="108" t="s">
        <v>266</v>
      </c>
      <c r="E72" s="108" t="s">
        <v>481</v>
      </c>
      <c r="F72" s="152">
        <v>5236</v>
      </c>
      <c r="G72" s="108"/>
      <c r="H72" s="152">
        <v>5567.4</v>
      </c>
      <c r="K72" s="5"/>
    </row>
    <row r="73" spans="2:11" x14ac:dyDescent="0.25">
      <c r="B73" s="208" t="s">
        <v>56</v>
      </c>
      <c r="C73" s="209"/>
      <c r="D73" s="108" t="s">
        <v>266</v>
      </c>
      <c r="E73" s="108" t="s">
        <v>271</v>
      </c>
      <c r="F73" s="152">
        <v>46897.9</v>
      </c>
      <c r="G73" s="108" t="s">
        <v>271</v>
      </c>
      <c r="H73" s="152">
        <v>46897.9</v>
      </c>
    </row>
    <row r="74" spans="2:11" x14ac:dyDescent="0.25">
      <c r="B74" s="208" t="s">
        <v>57</v>
      </c>
      <c r="C74" s="209"/>
      <c r="D74" s="108" t="s">
        <v>266</v>
      </c>
      <c r="E74" s="108"/>
      <c r="F74" s="154"/>
      <c r="G74" s="108" t="s">
        <v>271</v>
      </c>
      <c r="H74" s="154"/>
    </row>
    <row r="75" spans="2:11" ht="20.25" customHeight="1" x14ac:dyDescent="0.25">
      <c r="B75" s="208" t="s">
        <v>58</v>
      </c>
      <c r="C75" s="209"/>
      <c r="D75" s="108" t="s">
        <v>266</v>
      </c>
      <c r="E75" s="108"/>
      <c r="F75" s="164"/>
      <c r="G75" s="108" t="s">
        <v>271</v>
      </c>
      <c r="H75" s="164"/>
    </row>
    <row r="76" spans="2:11" ht="17.25" customHeight="1" x14ac:dyDescent="0.25">
      <c r="B76" s="208" t="s">
        <v>282</v>
      </c>
      <c r="C76" s="209"/>
      <c r="D76" s="108"/>
      <c r="E76" s="108"/>
      <c r="F76" s="154"/>
      <c r="G76" s="108"/>
      <c r="H76" s="154"/>
    </row>
    <row r="77" spans="2:11" ht="17.25" customHeight="1" x14ac:dyDescent="0.25">
      <c r="B77" s="208" t="s">
        <v>289</v>
      </c>
      <c r="C77" s="209"/>
      <c r="D77" s="108"/>
      <c r="E77" s="108"/>
      <c r="F77" s="161">
        <v>53457.78</v>
      </c>
      <c r="G77" s="108"/>
      <c r="H77" s="161">
        <v>53457.78</v>
      </c>
    </row>
    <row r="78" spans="2:11" x14ac:dyDescent="0.25">
      <c r="B78" s="243" t="s">
        <v>59</v>
      </c>
      <c r="C78" s="244"/>
      <c r="D78" s="108"/>
      <c r="E78" s="108"/>
      <c r="F78" s="162"/>
      <c r="G78" s="108"/>
      <c r="H78" s="162"/>
    </row>
    <row r="79" spans="2:11" ht="44.25" customHeight="1" x14ac:dyDescent="0.25">
      <c r="B79" s="208" t="s">
        <v>60</v>
      </c>
      <c r="C79" s="209"/>
      <c r="D79" s="108" t="s">
        <v>272</v>
      </c>
      <c r="E79" s="108"/>
      <c r="F79" s="154"/>
      <c r="G79" s="108" t="s">
        <v>271</v>
      </c>
      <c r="H79" s="154"/>
    </row>
    <row r="80" spans="2:11" ht="47.25" customHeight="1" x14ac:dyDescent="0.25">
      <c r="B80" s="208" t="s">
        <v>61</v>
      </c>
      <c r="C80" s="209"/>
      <c r="D80" s="108" t="s">
        <v>270</v>
      </c>
      <c r="E80" s="108"/>
      <c r="F80" s="154"/>
      <c r="G80" s="108" t="s">
        <v>271</v>
      </c>
      <c r="H80" s="154"/>
    </row>
    <row r="81" spans="2:8" ht="75" customHeight="1" x14ac:dyDescent="0.25">
      <c r="B81" s="208" t="s">
        <v>62</v>
      </c>
      <c r="C81" s="209"/>
      <c r="D81" s="150" t="s">
        <v>266</v>
      </c>
      <c r="E81" s="150" t="s">
        <v>271</v>
      </c>
      <c r="F81" s="151">
        <f>22982.14+16217.58+11274.26</f>
        <v>50473.98</v>
      </c>
      <c r="G81" s="150" t="s">
        <v>271</v>
      </c>
      <c r="H81" s="151">
        <f>23198.95+16239.26+11367.49</f>
        <v>50805.7</v>
      </c>
    </row>
    <row r="82" spans="2:8" x14ac:dyDescent="0.25">
      <c r="B82" s="208" t="s">
        <v>290</v>
      </c>
      <c r="C82" s="209"/>
      <c r="D82" s="108" t="s">
        <v>291</v>
      </c>
      <c r="E82" s="161" t="s">
        <v>482</v>
      </c>
      <c r="F82" s="152">
        <f>6186.7+6160+21334.36</f>
        <v>33681.06</v>
      </c>
      <c r="G82" s="108" t="s">
        <v>483</v>
      </c>
      <c r="H82" s="152">
        <f>6186.7+1284.3+12582.5+24695.3</f>
        <v>44748.800000000003</v>
      </c>
    </row>
    <row r="83" spans="2:8" x14ac:dyDescent="0.25">
      <c r="B83" s="208" t="s">
        <v>282</v>
      </c>
      <c r="C83" s="209"/>
      <c r="D83" s="108"/>
      <c r="E83" s="108"/>
      <c r="F83" s="154"/>
      <c r="G83" s="108"/>
      <c r="H83" s="152"/>
    </row>
    <row r="84" spans="2:8" x14ac:dyDescent="0.25">
      <c r="B84" s="243" t="s">
        <v>63</v>
      </c>
      <c r="C84" s="244"/>
      <c r="D84" s="153"/>
      <c r="E84" s="108" t="s">
        <v>271</v>
      </c>
      <c r="F84" s="152">
        <v>42443.93</v>
      </c>
      <c r="G84" s="108" t="s">
        <v>271</v>
      </c>
      <c r="H84" s="152">
        <v>42443.93</v>
      </c>
    </row>
    <row r="85" spans="2:8" x14ac:dyDescent="0.25">
      <c r="B85" s="243" t="s">
        <v>64</v>
      </c>
      <c r="C85" s="244"/>
      <c r="D85" s="108"/>
      <c r="E85" s="108" t="s">
        <v>271</v>
      </c>
      <c r="F85" s="152">
        <v>35990.89</v>
      </c>
      <c r="G85" s="108" t="s">
        <v>271</v>
      </c>
      <c r="H85" s="152">
        <v>35194.410000000003</v>
      </c>
    </row>
    <row r="86" spans="2:8" x14ac:dyDescent="0.25">
      <c r="B86" s="243" t="s">
        <v>294</v>
      </c>
      <c r="C86" s="244"/>
      <c r="D86" s="108"/>
      <c r="E86" s="108"/>
      <c r="F86" s="162"/>
      <c r="G86" s="163"/>
      <c r="H86" s="162"/>
    </row>
    <row r="87" spans="2:8" x14ac:dyDescent="0.25">
      <c r="B87" s="208" t="s">
        <v>295</v>
      </c>
      <c r="C87" s="209"/>
      <c r="D87" s="153" t="s">
        <v>296</v>
      </c>
      <c r="E87" s="108"/>
      <c r="F87" s="152">
        <v>6938</v>
      </c>
      <c r="G87" s="108"/>
      <c r="H87" s="152">
        <v>7783.84</v>
      </c>
    </row>
    <row r="88" spans="2:8" x14ac:dyDescent="0.25">
      <c r="B88" s="208" t="s">
        <v>71</v>
      </c>
      <c r="C88" s="209"/>
      <c r="D88" s="153" t="s">
        <v>297</v>
      </c>
      <c r="E88" s="108"/>
      <c r="F88" s="152"/>
      <c r="G88" s="108"/>
      <c r="H88" s="152"/>
    </row>
    <row r="89" spans="2:8" x14ac:dyDescent="0.25">
      <c r="B89" s="208" t="s">
        <v>72</v>
      </c>
      <c r="C89" s="209"/>
      <c r="D89" s="108" t="s">
        <v>299</v>
      </c>
      <c r="E89" s="108" t="s">
        <v>484</v>
      </c>
      <c r="F89" s="152">
        <v>5095.99</v>
      </c>
      <c r="G89" s="108" t="s">
        <v>484</v>
      </c>
      <c r="H89" s="152">
        <v>5095.99</v>
      </c>
    </row>
    <row r="90" spans="2:8" x14ac:dyDescent="0.25">
      <c r="B90" s="208" t="s">
        <v>301</v>
      </c>
      <c r="C90" s="209"/>
      <c r="D90" s="108" t="s">
        <v>291</v>
      </c>
      <c r="E90" s="108" t="s">
        <v>271</v>
      </c>
      <c r="F90" s="152">
        <v>40088.65</v>
      </c>
      <c r="G90" s="108" t="s">
        <v>271</v>
      </c>
      <c r="H90" s="161">
        <v>40088.65</v>
      </c>
    </row>
    <row r="91" spans="2:8" x14ac:dyDescent="0.25">
      <c r="B91" s="208" t="s">
        <v>282</v>
      </c>
      <c r="C91" s="209"/>
      <c r="D91" s="108"/>
      <c r="E91" s="108"/>
      <c r="F91" s="154"/>
      <c r="G91" s="108"/>
      <c r="H91" s="154"/>
    </row>
    <row r="92" spans="2:8" x14ac:dyDescent="0.25">
      <c r="B92" s="208" t="s">
        <v>406</v>
      </c>
      <c r="C92" s="209"/>
      <c r="D92" s="108" t="s">
        <v>407</v>
      </c>
      <c r="E92" s="108" t="s">
        <v>485</v>
      </c>
      <c r="F92" s="152">
        <v>207351.96</v>
      </c>
      <c r="G92" s="108" t="s">
        <v>485</v>
      </c>
      <c r="H92" s="152">
        <v>207351.96</v>
      </c>
    </row>
    <row r="93" spans="2:8" x14ac:dyDescent="0.25">
      <c r="B93" s="208" t="s">
        <v>302</v>
      </c>
      <c r="C93" s="209"/>
      <c r="D93" s="108" t="s">
        <v>291</v>
      </c>
      <c r="E93" s="108" t="s">
        <v>486</v>
      </c>
      <c r="F93" s="152">
        <v>17778.63</v>
      </c>
      <c r="G93" s="108" t="s">
        <v>486</v>
      </c>
      <c r="H93" s="152">
        <v>14625.47</v>
      </c>
    </row>
    <row r="94" spans="2:8" ht="42" customHeight="1" x14ac:dyDescent="0.25">
      <c r="B94" s="208" t="s">
        <v>320</v>
      </c>
      <c r="C94" s="209"/>
      <c r="D94" s="108"/>
      <c r="E94" s="108"/>
      <c r="F94" s="152">
        <v>220573.08</v>
      </c>
      <c r="G94" s="108"/>
      <c r="H94" s="152">
        <v>220573.08</v>
      </c>
    </row>
    <row r="95" spans="2:8" x14ac:dyDescent="0.25">
      <c r="B95" s="206" t="s">
        <v>73</v>
      </c>
      <c r="C95" s="207"/>
      <c r="D95" s="108"/>
      <c r="E95" s="108"/>
      <c r="F95" s="165">
        <v>2318000</v>
      </c>
      <c r="G95" s="165"/>
      <c r="H95" s="165">
        <f>2487793.6-133352.2</f>
        <v>2354441.4</v>
      </c>
    </row>
    <row r="96" spans="2:8" x14ac:dyDescent="0.25">
      <c r="B96" s="9"/>
      <c r="C96" s="9"/>
      <c r="D96" s="5"/>
      <c r="E96" s="5"/>
      <c r="F96" s="15"/>
      <c r="G96" s="5"/>
      <c r="H96" s="15"/>
    </row>
    <row r="97" spans="2:8" x14ac:dyDescent="0.25">
      <c r="B97" s="201" t="s">
        <v>177</v>
      </c>
      <c r="C97" s="201"/>
      <c r="D97" s="201"/>
      <c r="E97" s="201"/>
      <c r="F97" s="201"/>
      <c r="G97" s="201"/>
    </row>
    <row r="98" spans="2:8" ht="63" customHeight="1" x14ac:dyDescent="0.25">
      <c r="B98" s="194" t="s">
        <v>29</v>
      </c>
      <c r="C98" s="194"/>
      <c r="D98" s="91" t="s">
        <v>30</v>
      </c>
      <c r="E98" s="91" t="s">
        <v>31</v>
      </c>
      <c r="F98" s="89" t="s">
        <v>82</v>
      </c>
      <c r="G98" s="89" t="s">
        <v>32</v>
      </c>
    </row>
    <row r="99" spans="2:8" x14ac:dyDescent="0.25">
      <c r="B99" s="181" t="s">
        <v>83</v>
      </c>
      <c r="C99" s="183"/>
      <c r="D99" s="88">
        <v>122680.24</v>
      </c>
      <c r="E99" s="88">
        <v>79607.53</v>
      </c>
      <c r="F99" s="88">
        <f>E99</f>
        <v>79607.53</v>
      </c>
      <c r="G99" s="85">
        <f>76678.15-30687.15+39.27</f>
        <v>46030.26999999999</v>
      </c>
    </row>
    <row r="100" spans="2:8" x14ac:dyDescent="0.25">
      <c r="B100" s="181" t="s">
        <v>84</v>
      </c>
      <c r="C100" s="183"/>
      <c r="D100" s="88">
        <f>61355.2-403.9+16617.53-111.27+18970.89-119.7+31830.5</f>
        <v>128139.24999999999</v>
      </c>
      <c r="E100" s="88">
        <f>61973.52+16737.63+18365.82+31303.74</f>
        <v>128380.71</v>
      </c>
      <c r="F100" s="98">
        <f t="shared" ref="F100:F107" si="0">E100</f>
        <v>128380.71</v>
      </c>
      <c r="G100" s="85">
        <f>38186.29+10782.06+10275.36-15406.65+46.62-4172.76+13.84-4763.7+11.06+4121.36</f>
        <v>39093.479999999996</v>
      </c>
    </row>
    <row r="101" spans="2:8" ht="30" customHeight="1" x14ac:dyDescent="0.25">
      <c r="B101" s="174" t="s">
        <v>85</v>
      </c>
      <c r="C101" s="175"/>
      <c r="D101" s="88">
        <f>42980.51+4.95</f>
        <v>42985.46</v>
      </c>
      <c r="E101" s="88">
        <v>43811.13</v>
      </c>
      <c r="F101" s="98">
        <f t="shared" si="0"/>
        <v>43811.13</v>
      </c>
      <c r="G101" s="85">
        <f>27462.68-10746.36</f>
        <v>16716.32</v>
      </c>
    </row>
    <row r="102" spans="2:8" ht="30" customHeight="1" x14ac:dyDescent="0.25">
      <c r="B102" s="174" t="s">
        <v>86</v>
      </c>
      <c r="C102" s="175"/>
      <c r="D102" s="88">
        <f>10984.57-8.65</f>
        <v>10975.92</v>
      </c>
      <c r="E102" s="88">
        <v>11211.04</v>
      </c>
      <c r="F102" s="98">
        <f t="shared" si="0"/>
        <v>11211.04</v>
      </c>
      <c r="G102" s="85">
        <f>6823.6-2746.46+3.8</f>
        <v>4080.9400000000005</v>
      </c>
    </row>
    <row r="103" spans="2:8" x14ac:dyDescent="0.25">
      <c r="B103" s="174" t="s">
        <v>87</v>
      </c>
      <c r="C103" s="175"/>
      <c r="D103" s="88">
        <f>159028.5-123.56</f>
        <v>158904.94</v>
      </c>
      <c r="E103" s="88">
        <f>7365.3+157555.93</f>
        <v>164921.22999999998</v>
      </c>
      <c r="F103" s="98">
        <f t="shared" si="0"/>
        <v>164921.22999999998</v>
      </c>
      <c r="G103" s="85">
        <f>12359.38+81312.38-39761.7+53.3</f>
        <v>53963.360000000015</v>
      </c>
    </row>
    <row r="104" spans="2:8" x14ac:dyDescent="0.25">
      <c r="B104" s="174" t="s">
        <v>88</v>
      </c>
      <c r="C104" s="175"/>
      <c r="D104" s="88">
        <f>7641.1-5.86</f>
        <v>7635.2400000000007</v>
      </c>
      <c r="E104" s="88">
        <v>7901.44</v>
      </c>
      <c r="F104" s="98">
        <f t="shared" si="0"/>
        <v>7901.44</v>
      </c>
      <c r="G104" s="85">
        <f>4866.72-1910.49+2.48</f>
        <v>2958.7100000000005</v>
      </c>
    </row>
    <row r="105" spans="2:8" x14ac:dyDescent="0.25">
      <c r="B105" s="174" t="s">
        <v>150</v>
      </c>
      <c r="C105" s="175"/>
      <c r="D105" s="88">
        <v>38150</v>
      </c>
      <c r="E105" s="88">
        <f>40789.73+133.88</f>
        <v>40923.61</v>
      </c>
      <c r="F105" s="98">
        <f t="shared" si="0"/>
        <v>40923.61</v>
      </c>
      <c r="G105" s="85">
        <f>24501.18+1078.51-9450</f>
        <v>16129.689999999999</v>
      </c>
    </row>
    <row r="106" spans="2:8" x14ac:dyDescent="0.25">
      <c r="B106" s="174" t="s">
        <v>89</v>
      </c>
      <c r="C106" s="175"/>
      <c r="D106" s="88">
        <f>28599.92-20.83</f>
        <v>28579.089999999997</v>
      </c>
      <c r="E106" s="88">
        <v>29074.78</v>
      </c>
      <c r="F106" s="98">
        <f t="shared" si="0"/>
        <v>29074.78</v>
      </c>
      <c r="G106" s="85">
        <f>19001.09-7149.98+8.33</f>
        <v>11859.44</v>
      </c>
    </row>
    <row r="107" spans="2:8" ht="30" x14ac:dyDescent="0.25">
      <c r="B107" s="86" t="s">
        <v>81</v>
      </c>
      <c r="C107" s="87"/>
      <c r="D107" s="88">
        <f>-469.09-10.73</f>
        <v>-479.82</v>
      </c>
      <c r="E107" s="88">
        <f>11156.13+20.35+221.06</f>
        <v>11397.539999999999</v>
      </c>
      <c r="F107" s="98">
        <f t="shared" si="0"/>
        <v>11397.539999999999</v>
      </c>
      <c r="G107" s="85">
        <f>1172.01+3294.09+285.25+2908.29</f>
        <v>7659.64</v>
      </c>
    </row>
    <row r="108" spans="2:8" ht="18.75" customHeight="1" x14ac:dyDescent="0.25">
      <c r="B108" s="202" t="s">
        <v>90</v>
      </c>
      <c r="C108" s="203"/>
      <c r="D108" s="90">
        <f>SUM(D99:D107)</f>
        <v>537570.32000000007</v>
      </c>
      <c r="E108" s="90">
        <f>SUM(E99:E107)</f>
        <v>517229.00999999995</v>
      </c>
      <c r="F108" s="88">
        <f>E108</f>
        <v>517229.00999999995</v>
      </c>
      <c r="G108" s="90">
        <f>SUM(G99:G107)</f>
        <v>198491.85</v>
      </c>
    </row>
    <row r="109" spans="2:8" x14ac:dyDescent="0.25">
      <c r="B109" s="202" t="s">
        <v>91</v>
      </c>
      <c r="C109" s="203"/>
      <c r="D109" s="96">
        <f>D108+F120+E38+C143</f>
        <v>4807740.7600000007</v>
      </c>
      <c r="E109" s="96">
        <f>E108+G120+F38+D143</f>
        <v>4325628.13</v>
      </c>
      <c r="F109" s="96">
        <f>E109</f>
        <v>4325628.13</v>
      </c>
      <c r="G109" s="96">
        <f>G38+G108+H120+F143</f>
        <v>1642255.7499999998</v>
      </c>
    </row>
    <row r="110" spans="2:8" x14ac:dyDescent="0.25">
      <c r="B110" s="16"/>
      <c r="C110" s="16"/>
      <c r="D110" s="16"/>
      <c r="E110" s="17"/>
      <c r="F110" s="17"/>
      <c r="G110" s="17"/>
      <c r="H110" s="17"/>
    </row>
    <row r="111" spans="2:8" x14ac:dyDescent="0.25">
      <c r="B111" s="204" t="s">
        <v>176</v>
      </c>
      <c r="C111" s="201"/>
      <c r="D111" s="201"/>
      <c r="E111" s="201"/>
      <c r="F111" s="201"/>
    </row>
    <row r="112" spans="2:8" ht="38.25" customHeight="1" x14ac:dyDescent="0.25">
      <c r="B112" s="194" t="s">
        <v>29</v>
      </c>
      <c r="C112" s="194" t="s">
        <v>93</v>
      </c>
      <c r="D112" s="194"/>
      <c r="E112" s="205" t="s">
        <v>94</v>
      </c>
      <c r="F112" s="194" t="s">
        <v>30</v>
      </c>
      <c r="G112" s="194" t="s">
        <v>31</v>
      </c>
      <c r="H112" s="195" t="s">
        <v>95</v>
      </c>
    </row>
    <row r="113" spans="2:8" ht="35.25" customHeight="1" x14ac:dyDescent="0.25">
      <c r="B113" s="194"/>
      <c r="C113" s="91" t="s">
        <v>96</v>
      </c>
      <c r="D113" s="19" t="s">
        <v>97</v>
      </c>
      <c r="E113" s="205"/>
      <c r="F113" s="194"/>
      <c r="G113" s="194"/>
      <c r="H113" s="195"/>
    </row>
    <row r="114" spans="2:8" x14ac:dyDescent="0.25">
      <c r="B114" s="10" t="s">
        <v>98</v>
      </c>
      <c r="C114" s="88">
        <v>1400.08</v>
      </c>
      <c r="D114" s="42">
        <v>1439.26</v>
      </c>
      <c r="E114" s="110">
        <v>712.57</v>
      </c>
      <c r="F114" s="88">
        <f>-6738.14+1025584.55+5323.92</f>
        <v>1024170.3300000001</v>
      </c>
      <c r="G114" s="88">
        <f>2514.86+591088.03</f>
        <v>593602.89</v>
      </c>
      <c r="H114" s="88">
        <f>3190.39+706495.2-421362.07</f>
        <v>288323.51999999996</v>
      </c>
    </row>
    <row r="115" spans="2:8" x14ac:dyDescent="0.25">
      <c r="B115" s="10" t="s">
        <v>147</v>
      </c>
      <c r="C115" s="88">
        <v>22.15</v>
      </c>
      <c r="D115" s="42">
        <v>26.44</v>
      </c>
      <c r="E115" s="110">
        <v>4117.2</v>
      </c>
      <c r="F115" s="88">
        <f>521847.44+4762.19+28141.19-11415.62+6245.3-2387.55+102720.48+2520.76</f>
        <v>652434.18999999994</v>
      </c>
      <c r="G115" s="88">
        <f>464199.63+43324.12+9722.89+96720.09</f>
        <v>613966.73</v>
      </c>
      <c r="H115" s="88">
        <f>397146.68+55620.89+12767.27+70913.96-145934.66-9670.58+12130.48+2554.77-28228.23-2292.16</f>
        <v>365008.42000000004</v>
      </c>
    </row>
    <row r="116" spans="2:8" x14ac:dyDescent="0.25">
      <c r="B116" s="10" t="s">
        <v>99</v>
      </c>
      <c r="C116" s="88">
        <v>18.43</v>
      </c>
      <c r="D116" s="42">
        <v>19.22</v>
      </c>
      <c r="E116" s="110">
        <v>7121</v>
      </c>
      <c r="F116" s="88">
        <f>20898.49+4.3+115966.73-1273.35-346.7</f>
        <v>135249.46999999997</v>
      </c>
      <c r="G116" s="88">
        <f>22023.27+164.71+117551.25-179.2</f>
        <v>139560.03</v>
      </c>
      <c r="H116" s="88">
        <f>29034.55+96217.15+2642.16-4227.51+616.36-28292.64-284.72</f>
        <v>95705.35</v>
      </c>
    </row>
    <row r="117" spans="2:8" x14ac:dyDescent="0.25">
      <c r="B117" s="10" t="s">
        <v>100</v>
      </c>
      <c r="C117" s="88">
        <v>12.31</v>
      </c>
      <c r="D117" s="42">
        <v>12.84</v>
      </c>
      <c r="E117" s="110">
        <v>11025</v>
      </c>
      <c r="F117" s="88">
        <f>127355.98+1247.81-1338.81</f>
        <v>127264.98</v>
      </c>
      <c r="G117" s="88">
        <f>129711.94+82.64</f>
        <v>129794.58</v>
      </c>
      <c r="H117" s="88">
        <f>102632.29+244.38-32609.75-1296.09</f>
        <v>68970.83</v>
      </c>
    </row>
    <row r="118" spans="2:8" x14ac:dyDescent="0.25">
      <c r="B118" s="10" t="s">
        <v>101</v>
      </c>
      <c r="C118" s="88" t="s">
        <v>145</v>
      </c>
      <c r="D118" s="42" t="s">
        <v>146</v>
      </c>
      <c r="E118" s="110">
        <v>125970.57</v>
      </c>
      <c r="F118" s="88">
        <f>70109.35+5593.52+374068.87-41013.73-45.11</f>
        <v>408712.9</v>
      </c>
      <c r="G118" s="88">
        <f>64663.03+341420.15</f>
        <v>406083.18000000005</v>
      </c>
      <c r="H118" s="88">
        <f>73674.12+329024.33+166.05-18920.97-629.53-97022.67-383.56</f>
        <v>285907.77</v>
      </c>
    </row>
    <row r="119" spans="2:8" x14ac:dyDescent="0.25">
      <c r="B119" s="10" t="s">
        <v>102</v>
      </c>
      <c r="C119" s="88">
        <v>2.2999999999999998</v>
      </c>
      <c r="D119" s="42">
        <v>2.39</v>
      </c>
      <c r="E119" s="110">
        <f t="shared" ref="E119" si="1">F119/D119</f>
        <v>19002.230125523012</v>
      </c>
      <c r="F119" s="88">
        <f>44954.91+460.42</f>
        <v>45415.33</v>
      </c>
      <c r="G119" s="88">
        <v>45432.17</v>
      </c>
      <c r="H119" s="88">
        <f>24600.74-11344.9-1200.08</f>
        <v>12055.760000000002</v>
      </c>
    </row>
    <row r="120" spans="2:8" x14ac:dyDescent="0.25">
      <c r="B120" s="11" t="s">
        <v>103</v>
      </c>
      <c r="C120" s="90"/>
      <c r="D120" s="42"/>
      <c r="E120" s="4"/>
      <c r="F120" s="90">
        <f>SUM(F114:F119)</f>
        <v>2393247.2000000002</v>
      </c>
      <c r="G120" s="90">
        <f>SUM(G114:G119)</f>
        <v>1928439.58</v>
      </c>
      <c r="H120" s="90">
        <f>SUM(H114:H119)</f>
        <v>1115971.6499999999</v>
      </c>
    </row>
    <row r="121" spans="2:8" x14ac:dyDescent="0.25">
      <c r="B121" s="16"/>
      <c r="C121" s="16"/>
      <c r="D121" s="16"/>
      <c r="E121" s="17"/>
      <c r="F121" s="17"/>
      <c r="G121" s="17"/>
      <c r="H121" s="17"/>
    </row>
    <row r="122" spans="2:8" x14ac:dyDescent="0.25">
      <c r="B122" s="16"/>
      <c r="C122" s="16" t="s">
        <v>244</v>
      </c>
      <c r="D122" s="16"/>
      <c r="E122" s="17"/>
      <c r="F122" s="17"/>
      <c r="G122" s="17"/>
      <c r="H122" s="17"/>
    </row>
    <row r="123" spans="2:8" x14ac:dyDescent="0.25">
      <c r="B123" s="137" t="s">
        <v>228</v>
      </c>
      <c r="C123" s="137" t="s">
        <v>229</v>
      </c>
      <c r="D123" s="137"/>
      <c r="E123" s="131" t="s">
        <v>230</v>
      </c>
      <c r="F123" s="17"/>
      <c r="G123" s="17"/>
      <c r="H123" s="17"/>
    </row>
    <row r="124" spans="2:8" x14ac:dyDescent="0.25">
      <c r="B124" s="133" t="s">
        <v>231</v>
      </c>
      <c r="C124" s="199">
        <v>9</v>
      </c>
      <c r="D124" s="200"/>
      <c r="E124" s="105">
        <v>100</v>
      </c>
      <c r="F124" s="17"/>
      <c r="G124" s="17"/>
      <c r="H124" s="17"/>
    </row>
    <row r="125" spans="2:8" x14ac:dyDescent="0.25">
      <c r="B125" s="133" t="s">
        <v>232</v>
      </c>
      <c r="C125" s="199">
        <v>4</v>
      </c>
      <c r="D125" s="200"/>
      <c r="E125" s="105">
        <v>100</v>
      </c>
      <c r="F125" s="17"/>
      <c r="G125" s="17"/>
      <c r="H125" s="17"/>
    </row>
    <row r="126" spans="2:8" x14ac:dyDescent="0.25">
      <c r="B126" s="133" t="s">
        <v>233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234</v>
      </c>
      <c r="C127" s="199">
        <v>2</v>
      </c>
      <c r="D127" s="200"/>
      <c r="E127" s="105">
        <v>100</v>
      </c>
      <c r="F127" s="17"/>
      <c r="G127" s="17"/>
      <c r="H127" s="17"/>
    </row>
    <row r="128" spans="2:8" x14ac:dyDescent="0.25">
      <c r="B128" s="133" t="s">
        <v>235</v>
      </c>
      <c r="C128" s="199"/>
      <c r="D128" s="200"/>
      <c r="E128" s="105"/>
      <c r="F128" s="17"/>
      <c r="G128" s="17"/>
      <c r="H128" s="17"/>
    </row>
    <row r="129" spans="2:8" x14ac:dyDescent="0.25">
      <c r="B129" s="133" t="s">
        <v>236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70</v>
      </c>
      <c r="C130" s="199">
        <v>6</v>
      </c>
      <c r="D130" s="200"/>
      <c r="E130" s="105">
        <v>100</v>
      </c>
      <c r="F130" s="17"/>
      <c r="G130" s="17"/>
      <c r="H130" s="17"/>
    </row>
    <row r="131" spans="2:8" x14ac:dyDescent="0.25">
      <c r="B131" s="133" t="s">
        <v>237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238</v>
      </c>
      <c r="C132" s="199">
        <v>1</v>
      </c>
      <c r="D132" s="200"/>
      <c r="E132" s="105">
        <v>100</v>
      </c>
      <c r="F132" s="17"/>
      <c r="G132" s="17"/>
      <c r="H132" s="17"/>
    </row>
    <row r="133" spans="2:8" x14ac:dyDescent="0.25">
      <c r="B133" s="133" t="s">
        <v>239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240</v>
      </c>
      <c r="C134" s="199"/>
      <c r="D134" s="200"/>
      <c r="E134" s="105"/>
      <c r="F134" s="17"/>
      <c r="G134" s="17"/>
      <c r="H134" s="17"/>
    </row>
    <row r="135" spans="2:8" x14ac:dyDescent="0.25">
      <c r="B135" s="133" t="s">
        <v>241</v>
      </c>
      <c r="C135" s="199"/>
      <c r="D135" s="200"/>
      <c r="E135" s="105"/>
      <c r="F135" s="17"/>
      <c r="G135" s="17"/>
      <c r="H135" s="17"/>
    </row>
    <row r="136" spans="2:8" x14ac:dyDescent="0.25">
      <c r="B136" s="133" t="s">
        <v>242</v>
      </c>
      <c r="C136" s="199"/>
      <c r="D136" s="200"/>
      <c r="E136" s="129"/>
      <c r="F136" s="17"/>
      <c r="G136" s="17"/>
      <c r="H136" s="17"/>
    </row>
    <row r="137" spans="2:8" x14ac:dyDescent="0.25">
      <c r="B137" s="133" t="s">
        <v>243</v>
      </c>
      <c r="C137" s="199"/>
      <c r="D137" s="200"/>
      <c r="E137" s="129"/>
      <c r="F137" s="17"/>
      <c r="G137" s="17"/>
      <c r="H137" s="17"/>
    </row>
    <row r="138" spans="2:8" x14ac:dyDescent="0.25">
      <c r="B138" s="139" t="s">
        <v>103</v>
      </c>
      <c r="C138" s="245">
        <f>SUM(C124:C137)</f>
        <v>22</v>
      </c>
      <c r="D138" s="246"/>
      <c r="E138" s="145">
        <v>100</v>
      </c>
      <c r="F138" s="9"/>
      <c r="G138" s="9"/>
      <c r="H138" s="17"/>
    </row>
    <row r="139" spans="2:8" x14ac:dyDescent="0.25">
      <c r="B139" s="12"/>
      <c r="C139" s="12"/>
      <c r="D139" s="9"/>
      <c r="E139" s="9"/>
      <c r="F139" s="9"/>
      <c r="G139" s="9"/>
    </row>
    <row r="140" spans="2:8" ht="44.25" customHeight="1" x14ac:dyDescent="0.25">
      <c r="B140" s="33"/>
      <c r="C140" s="90" t="s">
        <v>30</v>
      </c>
      <c r="D140" s="90" t="s">
        <v>31</v>
      </c>
      <c r="E140" s="89" t="s">
        <v>104</v>
      </c>
      <c r="F140" s="89" t="s">
        <v>32</v>
      </c>
    </row>
    <row r="141" spans="2:8" x14ac:dyDescent="0.25">
      <c r="B141" s="32" t="s">
        <v>105</v>
      </c>
      <c r="C141" s="88">
        <f>226158.5+552</f>
        <v>226710.5</v>
      </c>
      <c r="D141" s="88">
        <f>231006.55+34-81.17+20.62</f>
        <v>230979.99999999997</v>
      </c>
      <c r="E141" s="88"/>
      <c r="F141" s="85">
        <f>127671.09+1783.79+632.35+503.84-56620.5+82.5</f>
        <v>74053.069999999992</v>
      </c>
    </row>
    <row r="142" spans="2:8" x14ac:dyDescent="0.25">
      <c r="B142" s="32" t="s">
        <v>106</v>
      </c>
      <c r="C142" s="88">
        <f>11704.18-691.15</f>
        <v>11013.03</v>
      </c>
      <c r="D142" s="88">
        <f>267.24+10632.03</f>
        <v>10899.27</v>
      </c>
      <c r="E142" s="98"/>
      <c r="F142" s="85">
        <f>1861.26+24812.73-2856.93</f>
        <v>23817.059999999998</v>
      </c>
    </row>
    <row r="143" spans="2:8" ht="28.5" x14ac:dyDescent="0.25">
      <c r="B143" s="33" t="s">
        <v>178</v>
      </c>
      <c r="C143" s="90">
        <f>SUM(C141:C142)</f>
        <v>237723.53</v>
      </c>
      <c r="D143" s="90">
        <f>SUM(D141:D142)</f>
        <v>241879.26999999996</v>
      </c>
      <c r="E143" s="90"/>
      <c r="F143" s="90">
        <f>SUM(F141:F142)</f>
        <v>97870.12999999999</v>
      </c>
    </row>
    <row r="145" spans="2:6" x14ac:dyDescent="0.25">
      <c r="B145" s="177" t="s">
        <v>108</v>
      </c>
      <c r="C145" s="178"/>
      <c r="D145" s="179"/>
      <c r="E145" s="196">
        <f>G109</f>
        <v>1642255.7499999998</v>
      </c>
      <c r="F145" s="197"/>
    </row>
    <row r="147" spans="2:6" x14ac:dyDescent="0.25">
      <c r="B147" s="198" t="s">
        <v>109</v>
      </c>
      <c r="C147" s="198"/>
      <c r="D147" s="198"/>
      <c r="E147" s="193"/>
      <c r="F147" s="193"/>
    </row>
    <row r="148" spans="2:6" x14ac:dyDescent="0.25">
      <c r="B148" s="192" t="s">
        <v>110</v>
      </c>
      <c r="C148" s="192"/>
      <c r="D148" s="192"/>
      <c r="E148" s="193"/>
      <c r="F148" s="193"/>
    </row>
    <row r="149" spans="2:6" x14ac:dyDescent="0.25">
      <c r="B149" s="192" t="s">
        <v>111</v>
      </c>
      <c r="C149" s="192"/>
      <c r="D149" s="192"/>
      <c r="E149" s="193"/>
      <c r="F149" s="193"/>
    </row>
    <row r="150" spans="2:6" x14ac:dyDescent="0.25">
      <c r="B150" s="192" t="s">
        <v>112</v>
      </c>
      <c r="C150" s="192"/>
      <c r="D150" s="192"/>
      <c r="E150" s="193"/>
      <c r="F150" s="193"/>
    </row>
    <row r="151" spans="2:6" x14ac:dyDescent="0.25">
      <c r="B151" s="192" t="s">
        <v>113</v>
      </c>
      <c r="C151" s="192"/>
      <c r="D151" s="192"/>
      <c r="E151" s="193"/>
      <c r="F151" s="193"/>
    </row>
    <row r="153" spans="2:6" x14ac:dyDescent="0.25">
      <c r="B153" s="177" t="s">
        <v>114</v>
      </c>
      <c r="C153" s="178"/>
      <c r="D153" s="179"/>
      <c r="E153" s="193"/>
      <c r="F153" s="193"/>
    </row>
    <row r="155" spans="2:6" hidden="1" x14ac:dyDescent="0.25">
      <c r="B155" s="181" t="s">
        <v>123</v>
      </c>
      <c r="C155" s="183"/>
      <c r="D155" s="88" t="s">
        <v>124</v>
      </c>
      <c r="E155" s="176" t="s">
        <v>122</v>
      </c>
      <c r="F155" s="176"/>
    </row>
    <row r="156" spans="2:6" hidden="1" x14ac:dyDescent="0.25">
      <c r="B156" s="181" t="s">
        <v>125</v>
      </c>
      <c r="C156" s="183"/>
      <c r="D156" s="88" t="s">
        <v>126</v>
      </c>
      <c r="E156" s="176" t="s">
        <v>122</v>
      </c>
      <c r="F156" s="176"/>
    </row>
    <row r="157" spans="2:6" ht="30" hidden="1" customHeight="1" x14ac:dyDescent="0.25">
      <c r="B157" s="174" t="s">
        <v>127</v>
      </c>
      <c r="C157" s="175"/>
      <c r="D157" s="88" t="s">
        <v>128</v>
      </c>
      <c r="E157" s="176" t="s">
        <v>122</v>
      </c>
      <c r="F157" s="176"/>
    </row>
    <row r="158" spans="2:6" ht="30" hidden="1" customHeight="1" x14ac:dyDescent="0.25">
      <c r="B158" s="174" t="s">
        <v>129</v>
      </c>
      <c r="C158" s="175"/>
      <c r="D158" s="88" t="s">
        <v>130</v>
      </c>
      <c r="E158" s="176"/>
      <c r="F158" s="176"/>
    </row>
    <row r="159" spans="2:6" ht="30" hidden="1" x14ac:dyDescent="0.25">
      <c r="B159" s="174" t="s">
        <v>131</v>
      </c>
      <c r="C159" s="175"/>
      <c r="D159" s="24" t="s">
        <v>132</v>
      </c>
      <c r="E159" s="176" t="s">
        <v>133</v>
      </c>
      <c r="F159" s="176"/>
    </row>
    <row r="160" spans="2:6" hidden="1" x14ac:dyDescent="0.25">
      <c r="B160" s="181" t="s">
        <v>134</v>
      </c>
      <c r="C160" s="183"/>
      <c r="D160" s="10" t="s">
        <v>135</v>
      </c>
      <c r="E160" s="176"/>
      <c r="F160" s="176"/>
    </row>
    <row r="161" spans="2:8" ht="30" hidden="1" customHeight="1" x14ac:dyDescent="0.25">
      <c r="B161" s="174" t="s">
        <v>136</v>
      </c>
      <c r="C161" s="175"/>
      <c r="D161" s="10" t="s">
        <v>137</v>
      </c>
      <c r="E161" s="176"/>
      <c r="F161" s="176"/>
    </row>
    <row r="162" spans="2:8" ht="30" hidden="1" customHeight="1" x14ac:dyDescent="0.25">
      <c r="B162" s="174" t="s">
        <v>138</v>
      </c>
      <c r="C162" s="175"/>
      <c r="D162" s="88" t="s">
        <v>139</v>
      </c>
      <c r="E162" s="176"/>
      <c r="F162" s="176"/>
    </row>
    <row r="163" spans="2:8" x14ac:dyDescent="0.25">
      <c r="B163" s="177" t="s">
        <v>74</v>
      </c>
      <c r="C163" s="178"/>
      <c r="D163" s="179"/>
      <c r="E163" s="180">
        <v>2480</v>
      </c>
      <c r="F163" s="180"/>
      <c r="G163" s="25"/>
      <c r="H163" s="25"/>
    </row>
    <row r="164" spans="2:8" x14ac:dyDescent="0.25">
      <c r="B164" s="181" t="s">
        <v>75</v>
      </c>
      <c r="C164" s="182"/>
      <c r="D164" s="183"/>
      <c r="E164" s="176"/>
      <c r="F164" s="176"/>
      <c r="G164" s="26"/>
      <c r="H164" s="26"/>
    </row>
    <row r="165" spans="2:8" x14ac:dyDescent="0.25">
      <c r="B165" s="181" t="s">
        <v>76</v>
      </c>
      <c r="C165" s="182"/>
      <c r="D165" s="183"/>
      <c r="E165" s="184">
        <v>1280</v>
      </c>
      <c r="F165" s="184"/>
      <c r="G165" s="27"/>
      <c r="H165" s="27"/>
    </row>
    <row r="166" spans="2:8" x14ac:dyDescent="0.25">
      <c r="B166" s="181" t="s">
        <v>77</v>
      </c>
      <c r="C166" s="182"/>
      <c r="D166" s="183"/>
      <c r="E166" s="184"/>
      <c r="F166" s="184"/>
      <c r="G166" s="27"/>
      <c r="H166" s="27"/>
    </row>
    <row r="167" spans="2:8" x14ac:dyDescent="0.25">
      <c r="B167" s="177" t="s">
        <v>78</v>
      </c>
      <c r="C167" s="178"/>
      <c r="D167" s="179"/>
      <c r="E167" s="180"/>
      <c r="F167" s="180"/>
      <c r="G167" s="25"/>
      <c r="H167" s="25"/>
    </row>
    <row r="168" spans="2:8" x14ac:dyDescent="0.25">
      <c r="B168" s="181" t="s">
        <v>79</v>
      </c>
      <c r="C168" s="182"/>
      <c r="D168" s="183"/>
      <c r="E168" s="184"/>
      <c r="F168" s="184"/>
      <c r="G168" s="27"/>
      <c r="H168" s="27"/>
    </row>
    <row r="169" spans="2:8" x14ac:dyDescent="0.25">
      <c r="B169" s="177" t="s">
        <v>80</v>
      </c>
      <c r="C169" s="178"/>
      <c r="D169" s="179"/>
      <c r="E169" s="184"/>
      <c r="F169" s="184"/>
      <c r="G169" s="27"/>
      <c r="H169" s="27"/>
    </row>
    <row r="170" spans="2:8" x14ac:dyDescent="0.25">
      <c r="B170" s="16"/>
      <c r="C170" s="16"/>
      <c r="D170" s="16"/>
      <c r="E170" s="17"/>
      <c r="F170" s="17"/>
      <c r="G170" s="17"/>
      <c r="H170" s="17"/>
    </row>
    <row r="171" spans="2:8" ht="36" customHeight="1" x14ac:dyDescent="0.25">
      <c r="B171" s="185" t="s">
        <v>115</v>
      </c>
      <c r="C171" s="186"/>
      <c r="D171" s="186"/>
      <c r="E171" s="186"/>
      <c r="F171" s="21" t="s">
        <v>116</v>
      </c>
    </row>
    <row r="172" spans="2:8" ht="14.45" customHeight="1" x14ac:dyDescent="0.25">
      <c r="B172" s="187" t="s">
        <v>117</v>
      </c>
      <c r="C172" s="188" t="s">
        <v>118</v>
      </c>
      <c r="D172" s="190" t="s">
        <v>119</v>
      </c>
      <c r="E172" s="191"/>
      <c r="F172" s="4"/>
    </row>
    <row r="173" spans="2:8" x14ac:dyDescent="0.25">
      <c r="B173" s="187"/>
      <c r="C173" s="189"/>
      <c r="D173" s="83" t="s">
        <v>120</v>
      </c>
      <c r="E173" s="83" t="s">
        <v>121</v>
      </c>
      <c r="F173" s="4"/>
    </row>
    <row r="174" spans="2:8" x14ac:dyDescent="0.25">
      <c r="B174" s="115"/>
      <c r="C174" s="124"/>
      <c r="D174" s="115"/>
      <c r="E174" s="115"/>
      <c r="F174" s="4"/>
    </row>
    <row r="175" spans="2:8" x14ac:dyDescent="0.25">
      <c r="B175" s="115"/>
      <c r="C175" s="115"/>
      <c r="D175" s="115"/>
      <c r="E175" s="115"/>
      <c r="F175" s="4"/>
    </row>
    <row r="176" spans="2:8" x14ac:dyDescent="0.25">
      <c r="B176" s="120"/>
      <c r="C176" s="120"/>
      <c r="D176" s="121"/>
      <c r="E176" s="121"/>
      <c r="F176" s="121"/>
    </row>
    <row r="177" spans="2:6" x14ac:dyDescent="0.25">
      <c r="B177" s="120" t="s">
        <v>247</v>
      </c>
      <c r="C177" s="120"/>
      <c r="D177" s="121" t="s">
        <v>248</v>
      </c>
      <c r="E177" s="121"/>
      <c r="F177" s="121"/>
    </row>
  </sheetData>
  <mergeCells count="185">
    <mergeCell ref="B168:D168"/>
    <mergeCell ref="E168:F168"/>
    <mergeCell ref="B169:D169"/>
    <mergeCell ref="E169:F169"/>
    <mergeCell ref="B171:E171"/>
    <mergeCell ref="B172:B173"/>
    <mergeCell ref="C172:C173"/>
    <mergeCell ref="D172:E172"/>
    <mergeCell ref="B165:D165"/>
    <mergeCell ref="E165:F165"/>
    <mergeCell ref="B166:D166"/>
    <mergeCell ref="E166:F166"/>
    <mergeCell ref="B167:D167"/>
    <mergeCell ref="E167:F167"/>
    <mergeCell ref="B162:C162"/>
    <mergeCell ref="E162:F162"/>
    <mergeCell ref="B163:D163"/>
    <mergeCell ref="E163:F163"/>
    <mergeCell ref="B164:D164"/>
    <mergeCell ref="E164:F164"/>
    <mergeCell ref="B159:C159"/>
    <mergeCell ref="E159:F159"/>
    <mergeCell ref="B160:C160"/>
    <mergeCell ref="E160:F160"/>
    <mergeCell ref="B161:C161"/>
    <mergeCell ref="E161:F161"/>
    <mergeCell ref="B156:C156"/>
    <mergeCell ref="E156:F156"/>
    <mergeCell ref="B157:C157"/>
    <mergeCell ref="E157:F157"/>
    <mergeCell ref="B158:C158"/>
    <mergeCell ref="E158:F158"/>
    <mergeCell ref="B151:D151"/>
    <mergeCell ref="E151:F151"/>
    <mergeCell ref="B153:D153"/>
    <mergeCell ref="E153:F153"/>
    <mergeCell ref="B155:C155"/>
    <mergeCell ref="E155:F155"/>
    <mergeCell ref="B149:D149"/>
    <mergeCell ref="E149:F149"/>
    <mergeCell ref="B150:D150"/>
    <mergeCell ref="E150:F150"/>
    <mergeCell ref="G112:G113"/>
    <mergeCell ref="H112:H113"/>
    <mergeCell ref="B145:D145"/>
    <mergeCell ref="E145:F145"/>
    <mergeCell ref="B147:D147"/>
    <mergeCell ref="E147:F147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B106:C106"/>
    <mergeCell ref="B108:C108"/>
    <mergeCell ref="B109:C109"/>
    <mergeCell ref="B111:F111"/>
    <mergeCell ref="B112:B113"/>
    <mergeCell ref="C112:D112"/>
    <mergeCell ref="E112:E113"/>
    <mergeCell ref="F112:F113"/>
    <mergeCell ref="B148:D148"/>
    <mergeCell ref="E148:F148"/>
    <mergeCell ref="C136:D136"/>
    <mergeCell ref="C137:D137"/>
    <mergeCell ref="C138:D138"/>
    <mergeCell ref="B99:C99"/>
    <mergeCell ref="B100:C100"/>
    <mergeCell ref="B101:C101"/>
    <mergeCell ref="B102:C102"/>
    <mergeCell ref="B103:C103"/>
    <mergeCell ref="B104:C104"/>
    <mergeCell ref="B97:G97"/>
    <mergeCell ref="B98:C98"/>
    <mergeCell ref="B105:C105"/>
    <mergeCell ref="B92:C92"/>
    <mergeCell ref="B93:C93"/>
    <mergeCell ref="B94:C94"/>
    <mergeCell ref="B95:C95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20:C21"/>
    <mergeCell ref="D20:D21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7" max="7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5"/>
  <sheetViews>
    <sheetView view="pageBreakPreview" topLeftCell="A5" zoomScale="70" zoomScaleSheetLayoutView="70" workbookViewId="0">
      <selection activeCell="E25" sqref="E25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5.28515625" customWidth="1"/>
    <col min="5" max="5" width="17" customWidth="1"/>
    <col min="6" max="6" width="16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153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154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3602.7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1632.1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1970.6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f>E9</f>
        <v>3602.7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155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10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102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40.25" x14ac:dyDescent="0.25">
      <c r="B21" s="230"/>
      <c r="C21" s="231"/>
      <c r="D21" s="232"/>
      <c r="E21" s="28" t="s">
        <v>20</v>
      </c>
      <c r="F21" s="28" t="s">
        <v>21</v>
      </c>
      <c r="G21" s="28" t="s">
        <v>19</v>
      </c>
      <c r="H21" s="31"/>
    </row>
    <row r="22" spans="1:8" x14ac:dyDescent="0.25">
      <c r="B22" s="223" t="s">
        <v>22</v>
      </c>
      <c r="C22" s="224"/>
      <c r="D22" s="7"/>
      <c r="E22" s="7"/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1004412.3600000001</v>
      </c>
      <c r="E23" s="45">
        <f>E38+D96+C140</f>
        <v>292692.80000000005</v>
      </c>
      <c r="F23" s="7">
        <f>D97+D98+D99+D100+D101</f>
        <v>78215.099999999991</v>
      </c>
      <c r="G23" s="44">
        <f>F111+F112+F113+F114+F115+F116</f>
        <v>633504.46000000008</v>
      </c>
      <c r="H23" s="2"/>
    </row>
    <row r="24" spans="1:8" x14ac:dyDescent="0.25">
      <c r="B24" s="223" t="s">
        <v>24</v>
      </c>
      <c r="C24" s="224"/>
      <c r="D24" s="43">
        <f>E24+F24+G24</f>
        <v>687714.96000000008</v>
      </c>
      <c r="E24" s="45">
        <f>F38+E96+D138+D139</f>
        <v>164642.70000000001</v>
      </c>
      <c r="F24" s="7">
        <f>E97+E98+E100+E101+E104</f>
        <v>59236.959999999999</v>
      </c>
      <c r="G24" s="44">
        <f>G117</f>
        <v>463835.30000000005</v>
      </c>
      <c r="H24" s="2"/>
    </row>
    <row r="25" spans="1:8" x14ac:dyDescent="0.25">
      <c r="B25" s="223" t="s">
        <v>25</v>
      </c>
      <c r="C25" s="224"/>
      <c r="D25" s="7">
        <f>E25+F25+G25</f>
        <v>689251.93</v>
      </c>
      <c r="E25" s="44">
        <f>D140+119782.2</f>
        <v>166179.66999999998</v>
      </c>
      <c r="F25" s="7">
        <f>F24</f>
        <v>59236.959999999999</v>
      </c>
      <c r="G25" s="44">
        <f>G24</f>
        <v>463835.30000000005</v>
      </c>
      <c r="H25" s="2"/>
    </row>
    <row r="26" spans="1:8" x14ac:dyDescent="0.25">
      <c r="B26" s="223" t="s">
        <v>249</v>
      </c>
      <c r="C26" s="224"/>
      <c r="D26" s="7">
        <f>E26+F26+G26</f>
        <v>193153.11000000002</v>
      </c>
      <c r="E26" s="45">
        <f>G38+G96+F138</f>
        <v>67150.78</v>
      </c>
      <c r="F26" s="43">
        <f>G105-G96</f>
        <v>17179.120000000003</v>
      </c>
      <c r="G26" s="45">
        <f>H117</f>
        <v>108823.21000000002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263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18" t="s">
        <v>30</v>
      </c>
      <c r="F30" s="30" t="s">
        <v>31</v>
      </c>
      <c r="G30" s="8" t="s">
        <v>32</v>
      </c>
      <c r="H30" s="9"/>
    </row>
    <row r="31" spans="1:8" x14ac:dyDescent="0.25">
      <c r="B31" s="174" t="s">
        <v>33</v>
      </c>
      <c r="C31" s="212"/>
      <c r="D31" s="175"/>
      <c r="E31" s="23">
        <v>21579.08</v>
      </c>
      <c r="F31" s="40">
        <v>12283.24</v>
      </c>
      <c r="G31" s="23">
        <f>9295.84-5231.89</f>
        <v>4063.95</v>
      </c>
      <c r="H31" s="5"/>
    </row>
    <row r="32" spans="1:8" x14ac:dyDescent="0.25">
      <c r="B32" s="174" t="s">
        <v>34</v>
      </c>
      <c r="C32" s="212"/>
      <c r="D32" s="175"/>
      <c r="E32" s="23">
        <v>28073.02</v>
      </c>
      <c r="F32" s="40">
        <v>15971.87</v>
      </c>
      <c r="G32" s="23">
        <f>12101.15-6804.58</f>
        <v>5296.57</v>
      </c>
      <c r="H32" s="5"/>
    </row>
    <row r="33" spans="2:8" x14ac:dyDescent="0.25">
      <c r="B33" s="174" t="s">
        <v>35</v>
      </c>
      <c r="C33" s="212"/>
      <c r="D33" s="175"/>
      <c r="E33" s="23">
        <v>17343</v>
      </c>
      <c r="F33" s="40">
        <v>9871.76</v>
      </c>
      <c r="G33" s="23">
        <f>7471.24-4204.72</f>
        <v>3266.5199999999995</v>
      </c>
      <c r="H33" s="5"/>
    </row>
    <row r="34" spans="2:8" hidden="1" x14ac:dyDescent="0.25">
      <c r="B34" s="174" t="s">
        <v>36</v>
      </c>
      <c r="C34" s="175"/>
      <c r="D34" s="29"/>
      <c r="E34" s="23"/>
      <c r="F34" s="40"/>
      <c r="G34" s="23"/>
      <c r="H34" s="5"/>
    </row>
    <row r="35" spans="2:8" x14ac:dyDescent="0.25">
      <c r="B35" s="174" t="s">
        <v>37</v>
      </c>
      <c r="C35" s="212"/>
      <c r="D35" s="175"/>
      <c r="E35" s="23">
        <v>45181.33</v>
      </c>
      <c r="F35" s="40">
        <v>22984.240000000002</v>
      </c>
      <c r="G35" s="23">
        <f>22197.09-10988.41</f>
        <v>11208.68</v>
      </c>
      <c r="H35" s="5"/>
    </row>
    <row r="36" spans="2:8" x14ac:dyDescent="0.25">
      <c r="B36" s="174" t="s">
        <v>38</v>
      </c>
      <c r="C36" s="212"/>
      <c r="D36" s="175"/>
      <c r="E36" s="23">
        <v>37676.800000000003</v>
      </c>
      <c r="F36" s="40">
        <v>19196.169999999998</v>
      </c>
      <c r="G36" s="23">
        <f>18359.06+121.57-9222.89</f>
        <v>9257.7400000000016</v>
      </c>
      <c r="H36" s="5"/>
    </row>
    <row r="37" spans="2:8" ht="30" customHeight="1" x14ac:dyDescent="0.25">
      <c r="B37" s="174" t="s">
        <v>39</v>
      </c>
      <c r="C37" s="212"/>
      <c r="D37" s="175"/>
      <c r="E37" s="23">
        <v>33754.42</v>
      </c>
      <c r="F37" s="40">
        <v>19092.009999999998</v>
      </c>
      <c r="G37" s="23">
        <f>17106.99-2444.58-8502.35</f>
        <v>6160.0600000000013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183607.65000000002</v>
      </c>
      <c r="F38" s="41">
        <f>SUM(F31:F37)</f>
        <v>99399.29</v>
      </c>
      <c r="G38" s="41">
        <f>SUM(G31:G37)</f>
        <v>39253.520000000004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64963.259999999995</v>
      </c>
      <c r="G44" s="123"/>
      <c r="H44" s="123">
        <f t="shared" ref="H44" si="0">H45+H46+H47</f>
        <v>34398.800000000003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v>20927</v>
      </c>
      <c r="G45" s="117"/>
      <c r="H45" s="105">
        <v>17748.7</v>
      </c>
    </row>
    <row r="46" spans="2:8" x14ac:dyDescent="0.25">
      <c r="B46" s="210" t="s">
        <v>49</v>
      </c>
      <c r="C46" s="211"/>
      <c r="D46" s="24">
        <v>2014</v>
      </c>
      <c r="E46" s="10"/>
      <c r="F46" s="105">
        <v>27218.26</v>
      </c>
      <c r="G46" s="117"/>
      <c r="H46" s="105">
        <v>6967.2</v>
      </c>
    </row>
    <row r="47" spans="2:8" x14ac:dyDescent="0.25">
      <c r="B47" s="174" t="s">
        <v>35</v>
      </c>
      <c r="C47" s="175"/>
      <c r="D47" s="24">
        <v>2014</v>
      </c>
      <c r="E47" s="10"/>
      <c r="F47" s="105">
        <v>16818</v>
      </c>
      <c r="G47" s="117"/>
      <c r="H47" s="105">
        <v>9682.9</v>
      </c>
    </row>
    <row r="48" spans="2:8" hidden="1" x14ac:dyDescent="0.25">
      <c r="B48" s="174" t="s">
        <v>36</v>
      </c>
      <c r="C48" s="175"/>
      <c r="D48" s="23"/>
      <c r="E48" s="10"/>
      <c r="F48" s="105"/>
      <c r="G48" s="117"/>
      <c r="H48" s="105"/>
    </row>
    <row r="49" spans="2:8" x14ac:dyDescent="0.25">
      <c r="B49" s="202" t="s">
        <v>65</v>
      </c>
      <c r="C49" s="203"/>
      <c r="D49" s="23"/>
      <c r="E49" s="10"/>
      <c r="F49" s="118"/>
      <c r="G49" s="117"/>
      <c r="H49" s="118"/>
    </row>
    <row r="50" spans="2:8" ht="40.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/>
      <c r="F51" s="151"/>
      <c r="G51" s="150" t="s">
        <v>268</v>
      </c>
      <c r="H51" s="151">
        <f>8661.7</f>
        <v>8661.7000000000007</v>
      </c>
    </row>
    <row r="52" spans="2:8" ht="16.5" customHeight="1" x14ac:dyDescent="0.25">
      <c r="B52" s="208" t="s">
        <v>269</v>
      </c>
      <c r="C52" s="209"/>
      <c r="D52" s="108" t="s">
        <v>270</v>
      </c>
      <c r="E52" s="108"/>
      <c r="F52" s="152"/>
      <c r="G52" s="149" t="s">
        <v>267</v>
      </c>
      <c r="H52" s="152">
        <v>2384.5300000000002</v>
      </c>
    </row>
    <row r="53" spans="2:8" ht="16.5" customHeight="1" x14ac:dyDescent="0.25">
      <c r="B53" s="208" t="s">
        <v>68</v>
      </c>
      <c r="C53" s="209"/>
      <c r="D53" s="108" t="s">
        <v>272</v>
      </c>
      <c r="E53" s="108"/>
      <c r="F53" s="152"/>
      <c r="G53" s="149" t="s">
        <v>267</v>
      </c>
      <c r="H53" s="152">
        <f>821.64+3183.23</f>
        <v>4004.87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ht="16.5" customHeight="1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ht="16.5" customHeight="1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ht="16.5" customHeight="1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ht="16.5" customHeight="1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ht="16.5" customHeight="1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ht="16.5" customHeight="1" x14ac:dyDescent="0.25">
      <c r="B60" s="208" t="s">
        <v>69</v>
      </c>
      <c r="C60" s="209"/>
      <c r="D60" s="108" t="s">
        <v>272</v>
      </c>
      <c r="E60" s="161"/>
      <c r="F60" s="152"/>
      <c r="G60" s="161"/>
      <c r="H60" s="152"/>
    </row>
    <row r="61" spans="2:8" ht="16.5" customHeight="1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ht="16.5" customHeight="1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ht="16.5" customHeight="1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ht="16.5" customHeight="1" x14ac:dyDescent="0.25">
      <c r="B64" s="243" t="s">
        <v>50</v>
      </c>
      <c r="C64" s="244"/>
      <c r="D64" s="108"/>
      <c r="E64" s="108"/>
      <c r="F64" s="162"/>
      <c r="G64" s="163"/>
      <c r="H64" s="162"/>
    </row>
    <row r="65" spans="2:8" ht="38.25" customHeight="1" x14ac:dyDescent="0.25">
      <c r="B65" s="208" t="s">
        <v>51</v>
      </c>
      <c r="C65" s="209"/>
      <c r="D65" s="153" t="s">
        <v>284</v>
      </c>
      <c r="E65" s="108"/>
      <c r="F65" s="154"/>
      <c r="G65" s="108" t="s">
        <v>271</v>
      </c>
      <c r="H65" s="154"/>
    </row>
    <row r="66" spans="2:8" ht="45.75" customHeight="1" x14ac:dyDescent="0.25">
      <c r="B66" s="208" t="s">
        <v>52</v>
      </c>
      <c r="C66" s="209"/>
      <c r="D66" s="108" t="s">
        <v>285</v>
      </c>
      <c r="E66" s="108"/>
      <c r="F66" s="154"/>
      <c r="G66" s="108" t="s">
        <v>271</v>
      </c>
      <c r="H66" s="154"/>
    </row>
    <row r="67" spans="2:8" ht="38.25" customHeight="1" x14ac:dyDescent="0.25">
      <c r="B67" s="208" t="s">
        <v>53</v>
      </c>
      <c r="C67" s="209"/>
      <c r="D67" s="108" t="s">
        <v>286</v>
      </c>
      <c r="E67" s="108"/>
      <c r="F67" s="154"/>
      <c r="G67" s="108" t="s">
        <v>271</v>
      </c>
      <c r="H67" s="154"/>
    </row>
    <row r="68" spans="2:8" ht="88.5" customHeight="1" x14ac:dyDescent="0.25">
      <c r="B68" s="208" t="s">
        <v>54</v>
      </c>
      <c r="C68" s="209"/>
      <c r="D68" s="150" t="s">
        <v>266</v>
      </c>
      <c r="E68" s="150"/>
      <c r="F68" s="151"/>
      <c r="G68" s="150"/>
      <c r="H68" s="151">
        <v>6238.8</v>
      </c>
    </row>
    <row r="69" spans="2:8" ht="16.5" customHeight="1" x14ac:dyDescent="0.25">
      <c r="B69" s="208" t="s">
        <v>55</v>
      </c>
      <c r="C69" s="209"/>
      <c r="D69" s="108" t="s">
        <v>266</v>
      </c>
      <c r="E69" s="108"/>
      <c r="F69" s="152"/>
      <c r="G69" s="108"/>
      <c r="H69" s="152"/>
    </row>
    <row r="70" spans="2:8" ht="16.5" customHeight="1" x14ac:dyDescent="0.25">
      <c r="B70" s="208" t="s">
        <v>56</v>
      </c>
      <c r="C70" s="209"/>
      <c r="D70" s="108" t="s">
        <v>266</v>
      </c>
      <c r="E70" s="108"/>
      <c r="F70" s="152"/>
      <c r="G70" s="108"/>
      <c r="H70" s="152"/>
    </row>
    <row r="71" spans="2:8" ht="16.5" customHeight="1" x14ac:dyDescent="0.25">
      <c r="B71" s="208" t="s">
        <v>57</v>
      </c>
      <c r="C71" s="209"/>
      <c r="D71" s="108" t="s">
        <v>266</v>
      </c>
      <c r="E71" s="108"/>
      <c r="F71" s="154"/>
      <c r="G71" s="108" t="s">
        <v>271</v>
      </c>
      <c r="H71" s="154"/>
    </row>
    <row r="72" spans="2:8" ht="16.5" customHeight="1" x14ac:dyDescent="0.25">
      <c r="B72" s="208" t="s">
        <v>58</v>
      </c>
      <c r="C72" s="209"/>
      <c r="D72" s="108" t="s">
        <v>266</v>
      </c>
      <c r="E72" s="108"/>
      <c r="F72" s="164"/>
      <c r="G72" s="108" t="s">
        <v>271</v>
      </c>
      <c r="H72" s="164"/>
    </row>
    <row r="73" spans="2:8" ht="16.5" customHeight="1" x14ac:dyDescent="0.25">
      <c r="B73" s="208" t="s">
        <v>282</v>
      </c>
      <c r="C73" s="209"/>
      <c r="D73" s="108"/>
      <c r="E73" s="108"/>
      <c r="F73" s="154"/>
      <c r="G73" s="108"/>
      <c r="H73" s="154"/>
    </row>
    <row r="74" spans="2:8" ht="16.5" customHeight="1" x14ac:dyDescent="0.25">
      <c r="B74" s="208" t="s">
        <v>307</v>
      </c>
      <c r="C74" s="209"/>
      <c r="D74" s="150"/>
      <c r="E74" s="150"/>
      <c r="F74" s="168"/>
      <c r="G74" s="150" t="s">
        <v>313</v>
      </c>
      <c r="H74" s="168">
        <v>22897.98</v>
      </c>
    </row>
    <row r="75" spans="2:8" ht="16.5" customHeight="1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8" ht="33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8" ht="36.75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8" ht="78" customHeight="1" x14ac:dyDescent="0.25">
      <c r="B78" s="208" t="s">
        <v>62</v>
      </c>
      <c r="C78" s="209"/>
      <c r="D78" s="150" t="s">
        <v>266</v>
      </c>
      <c r="E78" s="150"/>
      <c r="F78" s="151"/>
      <c r="G78" s="150" t="s">
        <v>271</v>
      </c>
      <c r="H78" s="151">
        <f>6999.67+4899.77+3429.84</f>
        <v>15329.28</v>
      </c>
    </row>
    <row r="79" spans="2:8" ht="16.5" customHeight="1" x14ac:dyDescent="0.25">
      <c r="B79" s="208" t="s">
        <v>290</v>
      </c>
      <c r="C79" s="209"/>
      <c r="D79" s="108" t="s">
        <v>291</v>
      </c>
      <c r="E79" s="161"/>
      <c r="F79" s="152"/>
      <c r="G79" s="108" t="s">
        <v>314</v>
      </c>
      <c r="H79" s="152">
        <f>4314.36+4581.37</f>
        <v>8895.73</v>
      </c>
    </row>
    <row r="80" spans="2:8" ht="16.5" customHeight="1" x14ac:dyDescent="0.25">
      <c r="B80" s="208" t="s">
        <v>282</v>
      </c>
      <c r="C80" s="209"/>
      <c r="D80" s="108"/>
      <c r="E80" s="108"/>
      <c r="F80" s="154"/>
      <c r="G80" s="108"/>
      <c r="H80" s="154"/>
    </row>
    <row r="81" spans="2:8" ht="16.5" customHeight="1" x14ac:dyDescent="0.25">
      <c r="B81" s="243" t="s">
        <v>63</v>
      </c>
      <c r="C81" s="244"/>
      <c r="D81" s="153"/>
      <c r="E81" s="108"/>
      <c r="F81" s="152"/>
      <c r="G81" s="108" t="s">
        <v>271</v>
      </c>
      <c r="H81" s="152">
        <v>12806.33</v>
      </c>
    </row>
    <row r="82" spans="2:8" ht="16.5" customHeight="1" x14ac:dyDescent="0.25">
      <c r="B82" s="243" t="s">
        <v>64</v>
      </c>
      <c r="C82" s="244"/>
      <c r="D82" s="108"/>
      <c r="E82" s="108"/>
      <c r="F82" s="152"/>
      <c r="G82" s="108" t="s">
        <v>271</v>
      </c>
      <c r="H82" s="152">
        <v>10618.98</v>
      </c>
    </row>
    <row r="83" spans="2:8" ht="16.5" customHeight="1" x14ac:dyDescent="0.25">
      <c r="B83" s="243" t="s">
        <v>294</v>
      </c>
      <c r="C83" s="244"/>
      <c r="D83" s="108"/>
      <c r="E83" s="108"/>
      <c r="F83" s="162"/>
      <c r="G83" s="163"/>
      <c r="H83" s="162"/>
    </row>
    <row r="84" spans="2:8" ht="16.5" customHeight="1" x14ac:dyDescent="0.25">
      <c r="B84" s="208" t="s">
        <v>295</v>
      </c>
      <c r="C84" s="209"/>
      <c r="D84" s="153" t="s">
        <v>296</v>
      </c>
      <c r="E84" s="108"/>
      <c r="F84" s="152"/>
      <c r="G84" s="108"/>
      <c r="H84" s="152"/>
    </row>
    <row r="85" spans="2:8" ht="16.5" customHeight="1" x14ac:dyDescent="0.25">
      <c r="B85" s="208" t="s">
        <v>71</v>
      </c>
      <c r="C85" s="209"/>
      <c r="D85" s="153" t="s">
        <v>297</v>
      </c>
      <c r="E85" s="108"/>
      <c r="F85" s="152"/>
      <c r="G85" s="108"/>
      <c r="H85" s="152"/>
    </row>
    <row r="86" spans="2:8" ht="16.5" customHeight="1" x14ac:dyDescent="0.25">
      <c r="B86" s="208" t="s">
        <v>72</v>
      </c>
      <c r="C86" s="209"/>
      <c r="D86" s="108" t="s">
        <v>299</v>
      </c>
      <c r="E86" s="108"/>
      <c r="F86" s="152"/>
      <c r="G86" s="108" t="s">
        <v>315</v>
      </c>
      <c r="H86" s="152">
        <v>1537.58</v>
      </c>
    </row>
    <row r="87" spans="2:8" ht="16.5" customHeight="1" x14ac:dyDescent="0.25">
      <c r="B87" s="208" t="s">
        <v>301</v>
      </c>
      <c r="C87" s="209"/>
      <c r="D87" s="108" t="s">
        <v>291</v>
      </c>
      <c r="E87" s="108"/>
      <c r="F87" s="152"/>
      <c r="G87" s="108" t="s">
        <v>271</v>
      </c>
      <c r="H87" s="161">
        <v>12095.69</v>
      </c>
    </row>
    <row r="88" spans="2:8" ht="16.5" customHeight="1" x14ac:dyDescent="0.25">
      <c r="B88" s="208" t="s">
        <v>282</v>
      </c>
      <c r="C88" s="209"/>
      <c r="D88" s="108"/>
      <c r="E88" s="108"/>
      <c r="F88" s="154"/>
      <c r="G88" s="108"/>
      <c r="H88" s="154"/>
    </row>
    <row r="89" spans="2:8" ht="16.5" customHeight="1" x14ac:dyDescent="0.25">
      <c r="B89" s="208" t="s">
        <v>302</v>
      </c>
      <c r="C89" s="209"/>
      <c r="D89" s="108" t="s">
        <v>291</v>
      </c>
      <c r="E89" s="108"/>
      <c r="F89" s="152"/>
      <c r="G89" s="108" t="s">
        <v>316</v>
      </c>
      <c r="H89" s="152">
        <v>4412.8500000000004</v>
      </c>
    </row>
    <row r="90" spans="2:8" ht="16.5" customHeight="1" x14ac:dyDescent="0.25">
      <c r="B90" s="208" t="s">
        <v>311</v>
      </c>
      <c r="C90" s="209"/>
      <c r="D90" s="108"/>
      <c r="E90" s="108"/>
      <c r="F90" s="152"/>
      <c r="G90" s="108" t="s">
        <v>312</v>
      </c>
      <c r="H90" s="152">
        <v>5400</v>
      </c>
    </row>
    <row r="91" spans="2:8" ht="42" customHeight="1" x14ac:dyDescent="0.25">
      <c r="B91" s="208" t="s">
        <v>320</v>
      </c>
      <c r="C91" s="209"/>
      <c r="D91" s="108"/>
      <c r="E91" s="108"/>
      <c r="F91" s="152">
        <v>0</v>
      </c>
      <c r="G91" s="108"/>
      <c r="H91" s="152">
        <v>0</v>
      </c>
    </row>
    <row r="92" spans="2:8" ht="16.5" customHeight="1" x14ac:dyDescent="0.25">
      <c r="B92" s="206" t="s">
        <v>73</v>
      </c>
      <c r="C92" s="207"/>
      <c r="D92" s="108"/>
      <c r="E92" s="108"/>
      <c r="F92" s="165"/>
      <c r="G92" s="165"/>
      <c r="H92" s="165">
        <f>119782.2-31569.2</f>
        <v>88213</v>
      </c>
    </row>
    <row r="93" spans="2:8" x14ac:dyDescent="0.25">
      <c r="B93" s="9"/>
      <c r="C93" s="9"/>
      <c r="D93" s="5"/>
      <c r="E93" s="5"/>
      <c r="F93" s="15"/>
      <c r="G93" s="5"/>
      <c r="H93" s="15"/>
    </row>
    <row r="94" spans="2:8" x14ac:dyDescent="0.25">
      <c r="B94" s="201" t="s">
        <v>262</v>
      </c>
      <c r="C94" s="201"/>
      <c r="D94" s="201"/>
      <c r="E94" s="201"/>
      <c r="F94" s="201"/>
      <c r="G94" s="201"/>
    </row>
    <row r="95" spans="2:8" ht="63" customHeight="1" x14ac:dyDescent="0.25">
      <c r="B95" s="194" t="s">
        <v>29</v>
      </c>
      <c r="C95" s="194"/>
      <c r="D95" s="18" t="s">
        <v>30</v>
      </c>
      <c r="E95" s="18" t="s">
        <v>31</v>
      </c>
      <c r="F95" s="8" t="s">
        <v>82</v>
      </c>
      <c r="G95" s="8" t="s">
        <v>32</v>
      </c>
    </row>
    <row r="96" spans="2:8" x14ac:dyDescent="0.25">
      <c r="B96" s="181" t="s">
        <v>83</v>
      </c>
      <c r="C96" s="183"/>
      <c r="D96" s="23">
        <v>37034.15</v>
      </c>
      <c r="E96" s="23">
        <v>18845.939999999999</v>
      </c>
      <c r="F96" s="23">
        <f>E96</f>
        <v>18845.939999999999</v>
      </c>
      <c r="G96" s="20">
        <f>18717.83-9258.92</f>
        <v>9458.9100000000017</v>
      </c>
    </row>
    <row r="97" spans="2:8" x14ac:dyDescent="0.25">
      <c r="B97" s="181" t="s">
        <v>84</v>
      </c>
      <c r="C97" s="183"/>
      <c r="D97" s="23">
        <f>11387.88-36.26+3084.31-9.82+3521.11-11.21+2252.85</f>
        <v>20188.859999999997</v>
      </c>
      <c r="E97" s="23">
        <f>10019.79+2719.32+3082.74+1267.93</f>
        <v>17089.78</v>
      </c>
      <c r="F97" s="23">
        <f>E97</f>
        <v>17089.78</v>
      </c>
      <c r="G97" s="20">
        <f>5423.79+1476.53+1656.36-2803.08+36.26-759.19+9.82-866.71+11.21+483.53</f>
        <v>4668.5199999999995</v>
      </c>
    </row>
    <row r="98" spans="2:8" ht="30" customHeight="1" x14ac:dyDescent="0.25">
      <c r="B98" s="174" t="s">
        <v>85</v>
      </c>
      <c r="C98" s="175"/>
      <c r="D98" s="23">
        <f>12960.94+8.28</f>
        <v>12969.220000000001</v>
      </c>
      <c r="E98" s="23">
        <v>8358.52</v>
      </c>
      <c r="F98" s="23">
        <f t="shared" ref="F98:F104" si="1">E98</f>
        <v>8358.52</v>
      </c>
      <c r="G98" s="20">
        <f>6554.05-3242.44</f>
        <v>3311.61</v>
      </c>
    </row>
    <row r="99" spans="2:8" ht="30" customHeight="1" x14ac:dyDescent="0.25">
      <c r="B99" s="174" t="s">
        <v>86</v>
      </c>
      <c r="C99" s="175"/>
      <c r="D99" s="23">
        <v>0</v>
      </c>
      <c r="E99" s="23">
        <v>0</v>
      </c>
      <c r="F99" s="23">
        <f t="shared" si="1"/>
        <v>0</v>
      </c>
      <c r="G99" s="20">
        <v>0</v>
      </c>
    </row>
    <row r="100" spans="2:8" x14ac:dyDescent="0.25">
      <c r="B100" s="174" t="s">
        <v>87</v>
      </c>
      <c r="C100" s="175"/>
      <c r="D100" s="23">
        <f>44029.52-1278.05</f>
        <v>42751.469999999994</v>
      </c>
      <c r="E100" s="23">
        <f>116.89+30874.52</f>
        <v>30991.41</v>
      </c>
      <c r="F100" s="23">
        <f t="shared" si="1"/>
        <v>30991.41</v>
      </c>
      <c r="G100" s="20">
        <f>346.39+18908.98-10688.37</f>
        <v>8566.9999999999982</v>
      </c>
    </row>
    <row r="101" spans="2:8" x14ac:dyDescent="0.25">
      <c r="B101" s="174" t="s">
        <v>88</v>
      </c>
      <c r="C101" s="175"/>
      <c r="D101" s="23">
        <f>2304.08+1.47</f>
        <v>2305.5499999999997</v>
      </c>
      <c r="E101" s="23">
        <f>1485.27</f>
        <v>1485.27</v>
      </c>
      <c r="F101" s="23">
        <f t="shared" si="1"/>
        <v>1485.27</v>
      </c>
      <c r="G101" s="20">
        <f>1164.95-576.41</f>
        <v>588.54000000000008</v>
      </c>
    </row>
    <row r="102" spans="2:8" x14ac:dyDescent="0.25">
      <c r="B102" s="174" t="s">
        <v>150</v>
      </c>
      <c r="C102" s="175"/>
      <c r="D102" s="23">
        <v>0</v>
      </c>
      <c r="E102" s="23">
        <v>0</v>
      </c>
      <c r="F102" s="23">
        <f t="shared" si="1"/>
        <v>0</v>
      </c>
      <c r="G102" s="20">
        <v>0</v>
      </c>
    </row>
    <row r="103" spans="2:8" x14ac:dyDescent="0.25">
      <c r="B103" s="174" t="s">
        <v>89</v>
      </c>
      <c r="C103" s="175"/>
      <c r="D103" s="23">
        <v>0</v>
      </c>
      <c r="E103" s="23">
        <v>0</v>
      </c>
      <c r="F103" s="23">
        <f t="shared" si="1"/>
        <v>0</v>
      </c>
      <c r="G103" s="20">
        <v>0</v>
      </c>
    </row>
    <row r="104" spans="2:8" ht="30" x14ac:dyDescent="0.25">
      <c r="B104" s="37" t="s">
        <v>81</v>
      </c>
      <c r="C104" s="38"/>
      <c r="D104" s="23">
        <v>0</v>
      </c>
      <c r="E104" s="23">
        <v>1311.98</v>
      </c>
      <c r="F104" s="23">
        <f t="shared" si="1"/>
        <v>1311.98</v>
      </c>
      <c r="G104" s="20">
        <v>43.45</v>
      </c>
    </row>
    <row r="105" spans="2:8" ht="18.75" customHeight="1" x14ac:dyDescent="0.25">
      <c r="B105" s="202" t="s">
        <v>90</v>
      </c>
      <c r="C105" s="203"/>
      <c r="D105" s="39">
        <f>SUM(D96:D104)</f>
        <v>115249.24999999999</v>
      </c>
      <c r="E105" s="39">
        <f>SUM(E96:E104)</f>
        <v>78082.900000000009</v>
      </c>
      <c r="F105" s="23">
        <f>E105</f>
        <v>78082.900000000009</v>
      </c>
      <c r="G105" s="39">
        <f>SUM(G96:G104)</f>
        <v>26638.030000000002</v>
      </c>
    </row>
    <row r="106" spans="2:8" x14ac:dyDescent="0.25">
      <c r="B106" s="202" t="s">
        <v>91</v>
      </c>
      <c r="C106" s="203"/>
      <c r="D106" s="46">
        <f>D105+F117+E38+C140</f>
        <v>1004412.3600000001</v>
      </c>
      <c r="E106" s="46">
        <f>E105+G117+F38+D140</f>
        <v>687714.96000000008</v>
      </c>
      <c r="F106" s="46">
        <f>E106</f>
        <v>687714.96000000008</v>
      </c>
      <c r="G106" s="46">
        <f>G38+G105+H117+F140</f>
        <v>193153.11000000002</v>
      </c>
    </row>
    <row r="107" spans="2:8" x14ac:dyDescent="0.25">
      <c r="B107" s="16"/>
      <c r="C107" s="16"/>
      <c r="D107" s="16"/>
      <c r="E107" s="17"/>
      <c r="F107" s="17"/>
      <c r="G107" s="17"/>
      <c r="H107" s="17"/>
    </row>
    <row r="108" spans="2:8" x14ac:dyDescent="0.25">
      <c r="B108" s="204" t="s">
        <v>176</v>
      </c>
      <c r="C108" s="201"/>
      <c r="D108" s="201"/>
      <c r="E108" s="201"/>
      <c r="F108" s="201"/>
    </row>
    <row r="109" spans="2:8" ht="38.25" customHeight="1" x14ac:dyDescent="0.25">
      <c r="B109" s="194" t="s">
        <v>29</v>
      </c>
      <c r="C109" s="194" t="s">
        <v>93</v>
      </c>
      <c r="D109" s="194"/>
      <c r="E109" s="205" t="s">
        <v>94</v>
      </c>
      <c r="F109" s="194" t="s">
        <v>30</v>
      </c>
      <c r="G109" s="194" t="s">
        <v>31</v>
      </c>
      <c r="H109" s="195" t="s">
        <v>95</v>
      </c>
    </row>
    <row r="110" spans="2:8" ht="35.25" customHeight="1" x14ac:dyDescent="0.25">
      <c r="B110" s="194"/>
      <c r="C110" s="18" t="s">
        <v>96</v>
      </c>
      <c r="D110" s="19" t="s">
        <v>97</v>
      </c>
      <c r="E110" s="205"/>
      <c r="F110" s="194"/>
      <c r="G110" s="194"/>
      <c r="H110" s="195"/>
    </row>
    <row r="111" spans="2:8" x14ac:dyDescent="0.25">
      <c r="B111" s="10" t="s">
        <v>98</v>
      </c>
      <c r="C111" s="23">
        <v>1400.08</v>
      </c>
      <c r="D111" s="42">
        <v>1439.26</v>
      </c>
      <c r="E111" s="110">
        <f>F111/D111</f>
        <v>251.15916512652336</v>
      </c>
      <c r="F111" s="23">
        <f>361483.34</f>
        <v>361483.34</v>
      </c>
      <c r="G111" s="23">
        <v>152840.17000000001</v>
      </c>
      <c r="H111" s="23">
        <f>242890.92-149548.09</f>
        <v>93342.830000000016</v>
      </c>
    </row>
    <row r="112" spans="2:8" x14ac:dyDescent="0.25">
      <c r="B112" s="10" t="s">
        <v>147</v>
      </c>
      <c r="C112" s="23">
        <v>22.15</v>
      </c>
      <c r="D112" s="42">
        <v>26.44</v>
      </c>
      <c r="E112" s="110">
        <v>1250.1500000000001</v>
      </c>
      <c r="F112" s="23">
        <f>93435.91-34173.63+4759.81-62366.84+325.1-11370.32+16449.86-10176.11</f>
        <v>-3116.2199999999921</v>
      </c>
      <c r="G112" s="23">
        <f>57378.18+18702.1+4712.55+20905.23</f>
        <v>101698.06</v>
      </c>
      <c r="H112" s="23">
        <f>36033.2-58616.88-11122.97-2524.18-23206.79-126.36-2816.92+126.55</f>
        <v>-62254.35</v>
      </c>
    </row>
    <row r="113" spans="2:8" x14ac:dyDescent="0.25">
      <c r="B113" s="10" t="s">
        <v>99</v>
      </c>
      <c r="C113" s="23">
        <v>18.43</v>
      </c>
      <c r="D113" s="42">
        <v>19.22</v>
      </c>
      <c r="E113" s="110">
        <v>3524</v>
      </c>
      <c r="F113" s="23">
        <f>28737.95-1167.04+1036.01-30.26+38993.16+1167.14+12033.34+5803.85</f>
        <v>86574.150000000009</v>
      </c>
      <c r="G113" s="23">
        <f>25902.98+161.74+27500.07+4220.15</f>
        <v>57784.94</v>
      </c>
      <c r="H113" s="23">
        <f>7979.72+844.01+29451.15+13617.04-6278.51+1432.43-707.4+30.26-9078.25-1432.45-5827.33-30.39</f>
        <v>30000.280000000006</v>
      </c>
    </row>
    <row r="114" spans="2:8" x14ac:dyDescent="0.25">
      <c r="B114" s="10" t="s">
        <v>100</v>
      </c>
      <c r="C114" s="23">
        <v>12.31</v>
      </c>
      <c r="D114" s="42">
        <v>12.84</v>
      </c>
      <c r="E114" s="110">
        <v>4675.75</v>
      </c>
      <c r="F114" s="23">
        <f>42077.54-284.65</f>
        <v>41792.89</v>
      </c>
      <c r="G114" s="23">
        <f>30166.54</f>
        <v>30166.54</v>
      </c>
      <c r="H114" s="23">
        <f>29211.71-9957.95-977.44</f>
        <v>18276.32</v>
      </c>
    </row>
    <row r="115" spans="2:8" x14ac:dyDescent="0.25">
      <c r="B115" s="10" t="s">
        <v>101</v>
      </c>
      <c r="C115" s="23" t="s">
        <v>145</v>
      </c>
      <c r="D115" s="42" t="s">
        <v>146</v>
      </c>
      <c r="E115" s="110">
        <v>64883.31</v>
      </c>
      <c r="F115" s="23">
        <f>9551.38+144.19+137218.94-144.21</f>
        <v>146770.30000000002</v>
      </c>
      <c r="G115" s="23">
        <f>4170.5+117175.09</f>
        <v>121345.59</v>
      </c>
      <c r="H115" s="23">
        <f>5545.69+62174.01-4401.53-144.16-33860.09+144.21</f>
        <v>29458.129999999997</v>
      </c>
    </row>
    <row r="116" spans="2:8" x14ac:dyDescent="0.25">
      <c r="B116" s="10" t="s">
        <v>102</v>
      </c>
      <c r="C116" s="23">
        <v>2.2999999999999998</v>
      </c>
      <c r="D116" s="42">
        <v>2.39</v>
      </c>
      <c r="E116" s="20">
        <v>0</v>
      </c>
      <c r="F116" s="23">
        <v>0</v>
      </c>
      <c r="G116" s="23">
        <v>0</v>
      </c>
      <c r="H116" s="23">
        <v>0</v>
      </c>
    </row>
    <row r="117" spans="2:8" x14ac:dyDescent="0.25">
      <c r="B117" s="11" t="s">
        <v>103</v>
      </c>
      <c r="C117" s="39"/>
      <c r="D117" s="42"/>
      <c r="E117" s="4"/>
      <c r="F117" s="39">
        <f>SUM(F111:F116)</f>
        <v>633504.46000000008</v>
      </c>
      <c r="G117" s="39">
        <f>SUM(G111:G116)</f>
        <v>463835.30000000005</v>
      </c>
      <c r="H117" s="39">
        <f>SUM(H111:H116)</f>
        <v>108823.21000000002</v>
      </c>
    </row>
    <row r="118" spans="2:8" x14ac:dyDescent="0.25">
      <c r="B118" s="16"/>
      <c r="C118" s="16"/>
      <c r="D118" s="16"/>
      <c r="E118" s="17"/>
      <c r="F118" s="17"/>
      <c r="G118" s="17"/>
      <c r="H118" s="17"/>
    </row>
    <row r="119" spans="2:8" x14ac:dyDescent="0.25">
      <c r="B119" s="16"/>
      <c r="C119" s="16" t="s">
        <v>244</v>
      </c>
      <c r="D119" s="16"/>
      <c r="E119" s="17"/>
      <c r="F119" s="17"/>
      <c r="G119" s="17"/>
      <c r="H119" s="17"/>
    </row>
    <row r="120" spans="2:8" x14ac:dyDescent="0.25">
      <c r="B120" s="137" t="s">
        <v>228</v>
      </c>
      <c r="C120" s="137" t="s">
        <v>229</v>
      </c>
      <c r="D120" s="137"/>
      <c r="E120" s="131" t="s">
        <v>230</v>
      </c>
      <c r="F120" s="17"/>
      <c r="G120" s="17"/>
      <c r="H120" s="17"/>
    </row>
    <row r="121" spans="2:8" x14ac:dyDescent="0.25">
      <c r="B121" s="133" t="s">
        <v>231</v>
      </c>
      <c r="C121" s="199">
        <v>1</v>
      </c>
      <c r="D121" s="200"/>
      <c r="E121" s="105">
        <v>100</v>
      </c>
      <c r="F121" s="17"/>
      <c r="G121" s="17"/>
      <c r="H121" s="17"/>
    </row>
    <row r="122" spans="2:8" x14ac:dyDescent="0.25">
      <c r="B122" s="133" t="s">
        <v>232</v>
      </c>
      <c r="C122" s="199"/>
      <c r="D122" s="200"/>
      <c r="E122" s="129"/>
      <c r="F122" s="17"/>
      <c r="G122" s="17"/>
      <c r="H122" s="17"/>
    </row>
    <row r="123" spans="2:8" x14ac:dyDescent="0.25">
      <c r="B123" s="133" t="s">
        <v>233</v>
      </c>
      <c r="C123" s="199"/>
      <c r="D123" s="200"/>
      <c r="E123" s="129"/>
      <c r="F123" s="17"/>
      <c r="G123" s="17"/>
      <c r="H123" s="17"/>
    </row>
    <row r="124" spans="2:8" x14ac:dyDescent="0.25">
      <c r="B124" s="133" t="s">
        <v>234</v>
      </c>
      <c r="C124" s="199"/>
      <c r="D124" s="200"/>
      <c r="E124" s="129"/>
      <c r="F124" s="17"/>
      <c r="G124" s="17"/>
      <c r="H124" s="17"/>
    </row>
    <row r="125" spans="2:8" x14ac:dyDescent="0.25">
      <c r="B125" s="133" t="s">
        <v>235</v>
      </c>
      <c r="C125" s="199"/>
      <c r="D125" s="200"/>
      <c r="E125" s="129"/>
      <c r="F125" s="17"/>
      <c r="G125" s="17"/>
      <c r="H125" s="17"/>
    </row>
    <row r="126" spans="2:8" x14ac:dyDescent="0.25">
      <c r="B126" s="133" t="s">
        <v>236</v>
      </c>
      <c r="C126" s="199"/>
      <c r="D126" s="200"/>
      <c r="E126" s="129"/>
      <c r="F126" s="17"/>
      <c r="G126" s="17"/>
      <c r="H126" s="17"/>
    </row>
    <row r="127" spans="2:8" x14ac:dyDescent="0.25">
      <c r="B127" s="133" t="s">
        <v>70</v>
      </c>
      <c r="C127" s="199">
        <v>6</v>
      </c>
      <c r="D127" s="200"/>
      <c r="E127" s="105">
        <v>100</v>
      </c>
      <c r="F127" s="17"/>
      <c r="G127" s="17"/>
      <c r="H127" s="17"/>
    </row>
    <row r="128" spans="2:8" x14ac:dyDescent="0.25">
      <c r="B128" s="133" t="s">
        <v>237</v>
      </c>
      <c r="C128" s="199"/>
      <c r="D128" s="200"/>
      <c r="E128" s="129"/>
      <c r="F128" s="17"/>
      <c r="G128" s="17"/>
      <c r="H128" s="17"/>
    </row>
    <row r="129" spans="2:8" x14ac:dyDescent="0.25">
      <c r="B129" s="133" t="s">
        <v>238</v>
      </c>
      <c r="C129" s="199"/>
      <c r="D129" s="200"/>
      <c r="E129" s="129"/>
      <c r="F129" s="17"/>
      <c r="G129" s="17"/>
      <c r="H129" s="17"/>
    </row>
    <row r="130" spans="2:8" x14ac:dyDescent="0.25">
      <c r="B130" s="133" t="s">
        <v>239</v>
      </c>
      <c r="C130" s="199"/>
      <c r="D130" s="200"/>
      <c r="E130" s="129"/>
      <c r="F130" s="17"/>
      <c r="G130" s="17"/>
      <c r="H130" s="17"/>
    </row>
    <row r="131" spans="2:8" x14ac:dyDescent="0.25">
      <c r="B131" s="133" t="s">
        <v>240</v>
      </c>
      <c r="C131" s="199"/>
      <c r="D131" s="200"/>
      <c r="E131" s="129"/>
      <c r="F131" s="17"/>
      <c r="G131" s="17"/>
      <c r="H131" s="17"/>
    </row>
    <row r="132" spans="2:8" x14ac:dyDescent="0.25">
      <c r="B132" s="133" t="s">
        <v>241</v>
      </c>
      <c r="C132" s="199"/>
      <c r="D132" s="200"/>
      <c r="E132" s="129"/>
      <c r="F132" s="17"/>
      <c r="G132" s="17"/>
      <c r="H132" s="17"/>
    </row>
    <row r="133" spans="2:8" x14ac:dyDescent="0.25">
      <c r="B133" s="133" t="s">
        <v>242</v>
      </c>
      <c r="C133" s="199"/>
      <c r="D133" s="200"/>
      <c r="E133" s="129"/>
      <c r="F133" s="17"/>
      <c r="G133" s="17"/>
      <c r="H133" s="17"/>
    </row>
    <row r="134" spans="2:8" x14ac:dyDescent="0.25">
      <c r="B134" s="133" t="s">
        <v>243</v>
      </c>
      <c r="C134" s="199"/>
      <c r="D134" s="200"/>
      <c r="E134" s="129"/>
      <c r="F134" s="17"/>
      <c r="G134" s="17"/>
      <c r="H134" s="17"/>
    </row>
    <row r="135" spans="2:8" x14ac:dyDescent="0.25">
      <c r="B135" s="139" t="s">
        <v>103</v>
      </c>
      <c r="C135" s="245">
        <f>SUM(C121:C134)</f>
        <v>7</v>
      </c>
      <c r="D135" s="246"/>
      <c r="E135" s="145">
        <v>100</v>
      </c>
      <c r="F135" s="9"/>
      <c r="G135" s="9"/>
    </row>
    <row r="136" spans="2:8" x14ac:dyDescent="0.25">
      <c r="B136" s="12"/>
      <c r="C136" s="12"/>
      <c r="D136" s="9"/>
      <c r="E136" s="9"/>
      <c r="F136" s="9"/>
      <c r="G136" s="9"/>
    </row>
    <row r="137" spans="2:8" ht="44.25" customHeight="1" x14ac:dyDescent="0.25">
      <c r="B137" s="33"/>
      <c r="C137" s="39" t="s">
        <v>30</v>
      </c>
      <c r="D137" s="39" t="s">
        <v>31</v>
      </c>
      <c r="E137" s="8" t="s">
        <v>104</v>
      </c>
      <c r="F137" s="8" t="s">
        <v>32</v>
      </c>
    </row>
    <row r="138" spans="2:8" x14ac:dyDescent="0.25">
      <c r="B138" s="32" t="s">
        <v>105</v>
      </c>
      <c r="C138" s="23">
        <f>72005+46</f>
        <v>72051</v>
      </c>
      <c r="D138" s="23">
        <v>46397.47</v>
      </c>
      <c r="E138" s="10"/>
      <c r="F138" s="20">
        <f>36451.85-18013.5</f>
        <v>18438.349999999999</v>
      </c>
    </row>
    <row r="139" spans="2:8" x14ac:dyDescent="0.25">
      <c r="B139" s="32" t="s">
        <v>106</v>
      </c>
      <c r="C139" s="23"/>
      <c r="D139" s="23"/>
      <c r="E139" s="10"/>
      <c r="F139" s="20"/>
    </row>
    <row r="140" spans="2:8" x14ac:dyDescent="0.25">
      <c r="B140" s="33" t="s">
        <v>107</v>
      </c>
      <c r="C140" s="39">
        <f>SUM(C138:C139)</f>
        <v>72051</v>
      </c>
      <c r="D140" s="39">
        <f>SUM(D138:D139)</f>
        <v>46397.47</v>
      </c>
      <c r="E140" s="10"/>
      <c r="F140" s="39">
        <f>SUM(F138:F139)</f>
        <v>18438.349999999999</v>
      </c>
    </row>
    <row r="142" spans="2:8" x14ac:dyDescent="0.25">
      <c r="B142" s="177" t="s">
        <v>108</v>
      </c>
      <c r="C142" s="178"/>
      <c r="D142" s="179"/>
      <c r="E142" s="196">
        <f>G106</f>
        <v>193153.11000000002</v>
      </c>
      <c r="F142" s="197"/>
    </row>
    <row r="144" spans="2:8" x14ac:dyDescent="0.25">
      <c r="B144" s="198" t="s">
        <v>109</v>
      </c>
      <c r="C144" s="198"/>
      <c r="D144" s="198"/>
      <c r="E144" s="193"/>
      <c r="F144" s="193"/>
    </row>
    <row r="145" spans="2:8" x14ac:dyDescent="0.25">
      <c r="B145" s="192" t="s">
        <v>110</v>
      </c>
      <c r="C145" s="192"/>
      <c r="D145" s="192"/>
      <c r="E145" s="193"/>
      <c r="F145" s="193"/>
    </row>
    <row r="146" spans="2:8" x14ac:dyDescent="0.25">
      <c r="B146" s="192" t="s">
        <v>111</v>
      </c>
      <c r="C146" s="192"/>
      <c r="D146" s="192"/>
      <c r="E146" s="193"/>
      <c r="F146" s="193"/>
    </row>
    <row r="147" spans="2:8" x14ac:dyDescent="0.25">
      <c r="B147" s="192" t="s">
        <v>112</v>
      </c>
      <c r="C147" s="192"/>
      <c r="D147" s="192"/>
      <c r="E147" s="193"/>
      <c r="F147" s="193"/>
    </row>
    <row r="148" spans="2:8" x14ac:dyDescent="0.25">
      <c r="B148" s="192" t="s">
        <v>113</v>
      </c>
      <c r="C148" s="192"/>
      <c r="D148" s="192"/>
      <c r="E148" s="193"/>
      <c r="F148" s="193"/>
    </row>
    <row r="150" spans="2:8" x14ac:dyDescent="0.25">
      <c r="B150" s="177" t="s">
        <v>114</v>
      </c>
      <c r="C150" s="178"/>
      <c r="D150" s="179"/>
      <c r="E150" s="193"/>
      <c r="F150" s="193"/>
    </row>
    <row r="152" spans="2:8" hidden="1" x14ac:dyDescent="0.25">
      <c r="B152" s="181" t="s">
        <v>123</v>
      </c>
      <c r="C152" s="183"/>
      <c r="D152" s="23" t="s">
        <v>124</v>
      </c>
      <c r="E152" s="176" t="s">
        <v>122</v>
      </c>
      <c r="F152" s="176"/>
    </row>
    <row r="153" spans="2:8" hidden="1" x14ac:dyDescent="0.25">
      <c r="B153" s="181" t="s">
        <v>125</v>
      </c>
      <c r="C153" s="183"/>
      <c r="D153" s="23" t="s">
        <v>126</v>
      </c>
      <c r="E153" s="176" t="s">
        <v>122</v>
      </c>
      <c r="F153" s="176"/>
    </row>
    <row r="154" spans="2:8" ht="30" hidden="1" customHeight="1" x14ac:dyDescent="0.25">
      <c r="B154" s="174" t="s">
        <v>127</v>
      </c>
      <c r="C154" s="175"/>
      <c r="D154" s="23" t="s">
        <v>128</v>
      </c>
      <c r="E154" s="176" t="s">
        <v>122</v>
      </c>
      <c r="F154" s="176"/>
    </row>
    <row r="155" spans="2:8" ht="30" hidden="1" customHeight="1" x14ac:dyDescent="0.25">
      <c r="B155" s="174" t="s">
        <v>129</v>
      </c>
      <c r="C155" s="175"/>
      <c r="D155" s="23" t="s">
        <v>130</v>
      </c>
      <c r="E155" s="176"/>
      <c r="F155" s="176"/>
    </row>
    <row r="156" spans="2:8" ht="30" hidden="1" x14ac:dyDescent="0.25">
      <c r="B156" s="174" t="s">
        <v>131</v>
      </c>
      <c r="C156" s="175"/>
      <c r="D156" s="24" t="s">
        <v>132</v>
      </c>
      <c r="E156" s="176" t="s">
        <v>133</v>
      </c>
      <c r="F156" s="176"/>
    </row>
    <row r="157" spans="2:8" hidden="1" x14ac:dyDescent="0.25">
      <c r="B157" s="181" t="s">
        <v>134</v>
      </c>
      <c r="C157" s="183"/>
      <c r="D157" s="10" t="s">
        <v>135</v>
      </c>
      <c r="E157" s="176"/>
      <c r="F157" s="176"/>
    </row>
    <row r="158" spans="2:8" ht="30" hidden="1" customHeight="1" x14ac:dyDescent="0.25">
      <c r="B158" s="174" t="s">
        <v>136</v>
      </c>
      <c r="C158" s="175"/>
      <c r="D158" s="10" t="s">
        <v>137</v>
      </c>
      <c r="E158" s="176"/>
      <c r="F158" s="176"/>
    </row>
    <row r="159" spans="2:8" ht="30" hidden="1" customHeight="1" x14ac:dyDescent="0.25">
      <c r="B159" s="174" t="s">
        <v>138</v>
      </c>
      <c r="C159" s="175"/>
      <c r="D159" s="23" t="s">
        <v>139</v>
      </c>
      <c r="E159" s="176"/>
      <c r="F159" s="176"/>
    </row>
    <row r="160" spans="2:8" x14ac:dyDescent="0.25">
      <c r="B160" s="177" t="s">
        <v>74</v>
      </c>
      <c r="C160" s="178"/>
      <c r="D160" s="179"/>
      <c r="E160" s="180">
        <v>160</v>
      </c>
      <c r="F160" s="180"/>
      <c r="G160" s="25"/>
      <c r="H160" s="25"/>
    </row>
    <row r="161" spans="2:8" x14ac:dyDescent="0.25">
      <c r="B161" s="181" t="s">
        <v>75</v>
      </c>
      <c r="C161" s="182"/>
      <c r="D161" s="183"/>
      <c r="E161" s="176"/>
      <c r="F161" s="176"/>
      <c r="G161" s="26"/>
      <c r="H161" s="26"/>
    </row>
    <row r="162" spans="2:8" x14ac:dyDescent="0.25">
      <c r="B162" s="181" t="s">
        <v>76</v>
      </c>
      <c r="C162" s="182"/>
      <c r="D162" s="183"/>
      <c r="E162" s="184">
        <v>160</v>
      </c>
      <c r="F162" s="184"/>
      <c r="G162" s="27"/>
      <c r="H162" s="27"/>
    </row>
    <row r="163" spans="2:8" x14ac:dyDescent="0.25">
      <c r="B163" s="181" t="s">
        <v>77</v>
      </c>
      <c r="C163" s="182"/>
      <c r="D163" s="183"/>
      <c r="E163" s="184"/>
      <c r="F163" s="184"/>
      <c r="G163" s="27"/>
      <c r="H163" s="27"/>
    </row>
    <row r="164" spans="2:8" x14ac:dyDescent="0.25">
      <c r="B164" s="177" t="s">
        <v>78</v>
      </c>
      <c r="C164" s="178"/>
      <c r="D164" s="179"/>
      <c r="E164" s="180"/>
      <c r="F164" s="180"/>
      <c r="G164" s="25"/>
      <c r="H164" s="25"/>
    </row>
    <row r="165" spans="2:8" x14ac:dyDescent="0.25">
      <c r="B165" s="181" t="s">
        <v>79</v>
      </c>
      <c r="C165" s="182"/>
      <c r="D165" s="183"/>
      <c r="E165" s="184">
        <v>5400</v>
      </c>
      <c r="F165" s="184"/>
      <c r="G165" s="27"/>
      <c r="H165" s="27"/>
    </row>
    <row r="166" spans="2:8" x14ac:dyDescent="0.25">
      <c r="B166" s="177" t="s">
        <v>80</v>
      </c>
      <c r="C166" s="178"/>
      <c r="D166" s="179"/>
      <c r="E166" s="184"/>
      <c r="F166" s="184"/>
      <c r="G166" s="27"/>
      <c r="H166" s="27"/>
    </row>
    <row r="167" spans="2:8" x14ac:dyDescent="0.25">
      <c r="B167" s="16"/>
      <c r="C167" s="16"/>
      <c r="D167" s="16"/>
      <c r="E167" s="17"/>
      <c r="F167" s="17"/>
      <c r="G167" s="17"/>
      <c r="H167" s="17"/>
    </row>
    <row r="168" spans="2:8" ht="36" customHeight="1" x14ac:dyDescent="0.25">
      <c r="B168" s="185" t="s">
        <v>115</v>
      </c>
      <c r="C168" s="186"/>
      <c r="D168" s="186"/>
      <c r="E168" s="186"/>
      <c r="F168" s="21" t="s">
        <v>116</v>
      </c>
    </row>
    <row r="169" spans="2:8" ht="14.45" customHeight="1" x14ac:dyDescent="0.25">
      <c r="B169" s="187" t="s">
        <v>117</v>
      </c>
      <c r="C169" s="188" t="s">
        <v>118</v>
      </c>
      <c r="D169" s="190" t="s">
        <v>119</v>
      </c>
      <c r="E169" s="191"/>
      <c r="F169" s="4"/>
    </row>
    <row r="170" spans="2:8" x14ac:dyDescent="0.25">
      <c r="B170" s="187"/>
      <c r="C170" s="189"/>
      <c r="D170" s="22" t="s">
        <v>120</v>
      </c>
      <c r="E170" s="22" t="s">
        <v>121</v>
      </c>
      <c r="F170" s="4"/>
    </row>
    <row r="171" spans="2:8" x14ac:dyDescent="0.25">
      <c r="B171" s="35"/>
      <c r="C171" s="34"/>
      <c r="D171" s="4"/>
      <c r="E171" s="4"/>
      <c r="F171" s="4"/>
    </row>
    <row r="172" spans="2:8" x14ac:dyDescent="0.25">
      <c r="B172" s="35"/>
      <c r="C172" s="35"/>
      <c r="D172" s="4"/>
      <c r="E172" s="4"/>
      <c r="F172" s="4"/>
    </row>
    <row r="173" spans="2:8" x14ac:dyDescent="0.25">
      <c r="B173" s="120"/>
      <c r="C173" s="120"/>
      <c r="D173" s="121"/>
      <c r="E173" s="121"/>
      <c r="F173" s="121"/>
    </row>
    <row r="174" spans="2:8" x14ac:dyDescent="0.25">
      <c r="B174" s="120" t="s">
        <v>247</v>
      </c>
      <c r="C174" s="120"/>
      <c r="D174" s="121" t="s">
        <v>248</v>
      </c>
      <c r="E174" s="121"/>
      <c r="F174" s="121"/>
    </row>
    <row r="175" spans="2:8" x14ac:dyDescent="0.25">
      <c r="B175" s="120"/>
      <c r="C175" s="120"/>
      <c r="D175" s="121"/>
      <c r="E175" s="121"/>
      <c r="F175" s="121"/>
    </row>
  </sheetData>
  <mergeCells count="182"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165:D165"/>
    <mergeCell ref="E165:F165"/>
    <mergeCell ref="B166:D166"/>
    <mergeCell ref="E166:F166"/>
    <mergeCell ref="B168:E168"/>
    <mergeCell ref="B169:B170"/>
    <mergeCell ref="C169:C170"/>
    <mergeCell ref="D169:E169"/>
    <mergeCell ref="B157:C157"/>
    <mergeCell ref="E157:F157"/>
    <mergeCell ref="B164:D164"/>
    <mergeCell ref="E164:F164"/>
    <mergeCell ref="B161:D161"/>
    <mergeCell ref="E161:F161"/>
    <mergeCell ref="B162:D162"/>
    <mergeCell ref="E162:F162"/>
    <mergeCell ref="B163:D163"/>
    <mergeCell ref="E163:F163"/>
    <mergeCell ref="B160:D160"/>
    <mergeCell ref="E160:F160"/>
    <mergeCell ref="B155:C155"/>
    <mergeCell ref="E155:F155"/>
    <mergeCell ref="B158:C158"/>
    <mergeCell ref="E158:F158"/>
    <mergeCell ref="B159:C159"/>
    <mergeCell ref="E159:F159"/>
    <mergeCell ref="B156:C156"/>
    <mergeCell ref="E156:F156"/>
    <mergeCell ref="B147:D147"/>
    <mergeCell ref="E147:F147"/>
    <mergeCell ref="B148:D148"/>
    <mergeCell ref="E148:F148"/>
    <mergeCell ref="B150:D150"/>
    <mergeCell ref="E150:F150"/>
    <mergeCell ref="G109:G110"/>
    <mergeCell ref="H109:H110"/>
    <mergeCell ref="B142:D142"/>
    <mergeCell ref="E142:F142"/>
    <mergeCell ref="B144:D144"/>
    <mergeCell ref="E144:F144"/>
    <mergeCell ref="B153:C153"/>
    <mergeCell ref="E153:F153"/>
    <mergeCell ref="B154:C154"/>
    <mergeCell ref="E154:F154"/>
    <mergeCell ref="B152:C152"/>
    <mergeCell ref="E152:F152"/>
    <mergeCell ref="F109:F110"/>
    <mergeCell ref="B146:D146"/>
    <mergeCell ref="E146:F146"/>
    <mergeCell ref="C129:D129"/>
    <mergeCell ref="C130:D130"/>
    <mergeCell ref="C131:D131"/>
    <mergeCell ref="C132:D132"/>
    <mergeCell ref="C133:D133"/>
    <mergeCell ref="C134:D134"/>
    <mergeCell ref="C135:D135"/>
    <mergeCell ref="B100:C100"/>
    <mergeCell ref="B101:C101"/>
    <mergeCell ref="B145:D145"/>
    <mergeCell ref="E145:F145"/>
    <mergeCell ref="B102:C102"/>
    <mergeCell ref="B103:C103"/>
    <mergeCell ref="B105:C105"/>
    <mergeCell ref="B106:C106"/>
    <mergeCell ref="B96:C96"/>
    <mergeCell ref="B97:C97"/>
    <mergeCell ref="B98:C98"/>
    <mergeCell ref="B99:C99"/>
    <mergeCell ref="B108:F108"/>
    <mergeCell ref="B109:B110"/>
    <mergeCell ref="C109:D109"/>
    <mergeCell ref="E109:E11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B94:G94"/>
    <mergeCell ref="B95:C95"/>
    <mergeCell ref="B66:C66"/>
    <mergeCell ref="B65:C65"/>
    <mergeCell ref="B63:C63"/>
    <mergeCell ref="B64:C64"/>
    <mergeCell ref="B62:C62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5:C85"/>
    <mergeCell ref="B86:C86"/>
    <mergeCell ref="B87:C87"/>
    <mergeCell ref="B88:C88"/>
    <mergeCell ref="B89:C89"/>
    <mergeCell ref="B90:C90"/>
    <mergeCell ref="B91:C91"/>
    <mergeCell ref="B92:C92"/>
    <mergeCell ref="B50:C50"/>
    <mergeCell ref="B51:C51"/>
    <mergeCell ref="B29:G29"/>
    <mergeCell ref="B30:D30"/>
    <mergeCell ref="B31:D31"/>
    <mergeCell ref="B52:C52"/>
    <mergeCell ref="B37:D37"/>
    <mergeCell ref="B38:D38"/>
    <mergeCell ref="B40:H40"/>
    <mergeCell ref="B41:C43"/>
    <mergeCell ref="D41:D43"/>
    <mergeCell ref="B48:C48"/>
    <mergeCell ref="B49:C49"/>
    <mergeCell ref="B44:C44"/>
    <mergeCell ref="B45:C45"/>
    <mergeCell ref="B46:C46"/>
    <mergeCell ref="B47:C47"/>
    <mergeCell ref="E41:E43"/>
    <mergeCell ref="F41:F43"/>
    <mergeCell ref="H41:H43"/>
    <mergeCell ref="B35:D35"/>
    <mergeCell ref="B36:D36"/>
    <mergeCell ref="B24:C24"/>
    <mergeCell ref="B25:C25"/>
    <mergeCell ref="B26:C26"/>
    <mergeCell ref="B28:G28"/>
    <mergeCell ref="B33:D33"/>
    <mergeCell ref="B34:C34"/>
    <mergeCell ref="G41:G43"/>
    <mergeCell ref="B16:D16"/>
    <mergeCell ref="E16:G16"/>
    <mergeCell ref="B32:D32"/>
    <mergeCell ref="B19:G19"/>
    <mergeCell ref="B20:C21"/>
    <mergeCell ref="D20:D21"/>
    <mergeCell ref="B14:D14"/>
    <mergeCell ref="E14:G14"/>
    <mergeCell ref="B15:D15"/>
    <mergeCell ref="E15:G15"/>
    <mergeCell ref="E20:G20"/>
    <mergeCell ref="B17:D17"/>
    <mergeCell ref="E17:G17"/>
    <mergeCell ref="B22:C22"/>
    <mergeCell ref="B23:C23"/>
    <mergeCell ref="B2:H2"/>
    <mergeCell ref="A3:H3"/>
    <mergeCell ref="A5:G5"/>
    <mergeCell ref="B10:D10"/>
    <mergeCell ref="E10:G10"/>
    <mergeCell ref="B12:D12"/>
    <mergeCell ref="E12:G12"/>
    <mergeCell ref="B13:D13"/>
    <mergeCell ref="E13:G13"/>
    <mergeCell ref="B11:D11"/>
    <mergeCell ref="E11:G11"/>
    <mergeCell ref="A6:G6"/>
    <mergeCell ref="B8:D8"/>
    <mergeCell ref="E8:G8"/>
    <mergeCell ref="B9:D9"/>
    <mergeCell ref="E9:G9"/>
  </mergeCells>
  <phoneticPr fontId="11" type="noConversion"/>
  <pageMargins left="0.11811023622047245" right="0.11811023622047245" top="0.15748031496062992" bottom="0.15748031496062992" header="0.31496062992125984" footer="0.31496062992125984"/>
  <pageSetup paperSize="9" scale="49" orientation="portrait" r:id="rId1"/>
  <headerFooter alignWithMargins="0"/>
  <rowBreaks count="2" manualBreakCount="2">
    <brk id="79" max="7" man="1"/>
    <brk id="11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5"/>
  <sheetViews>
    <sheetView view="pageBreakPreview" topLeftCell="A5" zoomScale="70" zoomScaleSheetLayoutView="70" workbookViewId="0">
      <selection activeCell="E26" sqref="E26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205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206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4209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4077.9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131.1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4209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207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95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248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188727.78</v>
      </c>
      <c r="E22" s="7">
        <v>188727.78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1744827.3900000001</v>
      </c>
      <c r="E23" s="45">
        <f>E38+D97+C141</f>
        <v>720801.25</v>
      </c>
      <c r="F23" s="7">
        <f>D98+D99+D100+D101+D102+D103+D104+D105</f>
        <v>167124.18</v>
      </c>
      <c r="G23" s="7">
        <f>F112+F113+F114+F115+F116+F117</f>
        <v>856901.9600000002</v>
      </c>
      <c r="H23" s="2"/>
    </row>
    <row r="24" spans="1:8" x14ac:dyDescent="0.25">
      <c r="B24" s="223" t="s">
        <v>24</v>
      </c>
      <c r="C24" s="224"/>
      <c r="D24" s="43">
        <f>E24+F24+G24</f>
        <v>1612824.56</v>
      </c>
      <c r="E24" s="45">
        <f>F38+E97+D139+D140</f>
        <v>690325.95</v>
      </c>
      <c r="F24" s="7">
        <f>E98+E99+E101+E102+E105+E100+E103+E104</f>
        <v>174252.11</v>
      </c>
      <c r="G24" s="7">
        <f>G118</f>
        <v>748246.5</v>
      </c>
      <c r="H24" s="2"/>
    </row>
    <row r="25" spans="1:8" x14ac:dyDescent="0.25">
      <c r="B25" s="223" t="s">
        <v>25</v>
      </c>
      <c r="C25" s="224"/>
      <c r="D25" s="7">
        <f>E25+F25+G25</f>
        <v>1609002.4700000002</v>
      </c>
      <c r="E25" s="7">
        <f>D141+595934.8</f>
        <v>686503.8600000001</v>
      </c>
      <c r="F25" s="7">
        <f>F24</f>
        <v>174252.11</v>
      </c>
      <c r="G25" s="7">
        <f>G24</f>
        <v>748246.5</v>
      </c>
      <c r="H25" s="2"/>
    </row>
    <row r="26" spans="1:8" x14ac:dyDescent="0.25">
      <c r="B26" s="223" t="s">
        <v>257</v>
      </c>
      <c r="C26" s="224"/>
      <c r="D26" s="7">
        <f>E26+F26+G26</f>
        <v>1611955.1600000001</v>
      </c>
      <c r="E26" s="45">
        <f>G38+G97+F141</f>
        <v>328508.21000000002</v>
      </c>
      <c r="F26" s="45">
        <f>G106-G97</f>
        <v>214784.81999999995</v>
      </c>
      <c r="G26" s="45">
        <f>H118</f>
        <v>1068662.1300000001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75361.86</v>
      </c>
      <c r="F31" s="40">
        <v>73086.149999999994</v>
      </c>
      <c r="G31" s="88">
        <f>32432.54-6647.1</f>
        <v>25785.440000000002</v>
      </c>
      <c r="H31" s="5"/>
    </row>
    <row r="32" spans="1:8" x14ac:dyDescent="0.25">
      <c r="B32" s="174" t="s">
        <v>34</v>
      </c>
      <c r="C32" s="212"/>
      <c r="D32" s="175"/>
      <c r="E32" s="88">
        <v>99825.72</v>
      </c>
      <c r="F32" s="40">
        <v>96904.45</v>
      </c>
      <c r="G32" s="88">
        <f>43321.82-8645.06</f>
        <v>34676.76</v>
      </c>
      <c r="H32" s="5"/>
    </row>
    <row r="33" spans="2:8" x14ac:dyDescent="0.25">
      <c r="B33" s="174" t="s">
        <v>35</v>
      </c>
      <c r="C33" s="212"/>
      <c r="D33" s="175"/>
      <c r="E33" s="88">
        <v>60678.48</v>
      </c>
      <c r="F33" s="40">
        <v>58935.02</v>
      </c>
      <c r="G33" s="88">
        <f>27061.88-5342.04</f>
        <v>21719.84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144735.26</v>
      </c>
      <c r="F35" s="40">
        <v>138599.57999999999</v>
      </c>
      <c r="G35" s="88">
        <f>62557.28-12837.71</f>
        <v>49719.57</v>
      </c>
      <c r="H35" s="5"/>
    </row>
    <row r="36" spans="2:8" x14ac:dyDescent="0.25">
      <c r="B36" s="174" t="s">
        <v>38</v>
      </c>
      <c r="C36" s="212"/>
      <c r="D36" s="175"/>
      <c r="E36" s="88">
        <v>101983.92</v>
      </c>
      <c r="F36" s="40">
        <f>93351.11+4900.27</f>
        <v>98251.38</v>
      </c>
      <c r="G36" s="88">
        <f>25071.94+6741.78+14776.63-10774.92</f>
        <v>35815.43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111946.01</v>
      </c>
      <c r="F37" s="40">
        <f>103497.57+4259.32</f>
        <v>107756.89000000001</v>
      </c>
      <c r="G37" s="88">
        <f>8815.73+23407.39+13471.67-9933.12</f>
        <v>35761.67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594531.25</v>
      </c>
      <c r="F38" s="41">
        <f>SUM(F31:F37)</f>
        <v>573533.47</v>
      </c>
      <c r="G38" s="41">
        <f>SUM(G31:G37)</f>
        <v>203478.71000000002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235866.06000000003</v>
      </c>
      <c r="G44" s="112"/>
      <c r="H44" s="123">
        <f>H45+H46+H47</f>
        <v>175835.42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75361.86</v>
      </c>
      <c r="G45" s="112"/>
      <c r="H45" s="105">
        <f>37783.5-9223.18</f>
        <v>28560.32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99825.72</v>
      </c>
      <c r="G46" s="112"/>
      <c r="H46" s="105">
        <f>122021.5-12320.43</f>
        <v>109701.07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60678.48</v>
      </c>
      <c r="G47" s="112"/>
      <c r="H47" s="105">
        <f>44978.9-7404.87</f>
        <v>37574.03</v>
      </c>
    </row>
    <row r="48" spans="2:8" hidden="1" x14ac:dyDescent="0.25">
      <c r="B48" s="174" t="s">
        <v>36</v>
      </c>
      <c r="C48" s="175"/>
      <c r="D48" s="88"/>
      <c r="E48" s="10"/>
      <c r="F48" s="14"/>
      <c r="G48" s="10"/>
      <c r="H48" s="14"/>
    </row>
    <row r="49" spans="2:8" x14ac:dyDescent="0.25">
      <c r="B49" s="202" t="s">
        <v>65</v>
      </c>
      <c r="C49" s="203"/>
      <c r="D49" s="88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66" t="s">
        <v>266</v>
      </c>
      <c r="E50" s="166"/>
      <c r="F50" s="10"/>
      <c r="G50" s="166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268</v>
      </c>
      <c r="F51" s="151">
        <f>10119.38+1300+2675+720</f>
        <v>14814.38</v>
      </c>
      <c r="G51" s="150" t="s">
        <v>275</v>
      </c>
      <c r="H51" s="151">
        <f>10119.38+1300+2675+720</f>
        <v>14814.38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2052</v>
      </c>
      <c r="G52" s="166" t="s">
        <v>267</v>
      </c>
      <c r="H52" s="152">
        <v>2785.83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1110+3867.19</f>
        <v>4977.1900000000005</v>
      </c>
      <c r="G53" s="166" t="s">
        <v>267</v>
      </c>
      <c r="H53" s="152">
        <f>959.92+3718.94</f>
        <v>4678.8599999999997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ht="16.5" customHeight="1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ht="16.5" customHeight="1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ht="16.5" customHeight="1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ht="16.5" customHeight="1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ht="16.5" customHeight="1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ht="16.5" customHeight="1" x14ac:dyDescent="0.25">
      <c r="B60" s="208" t="s">
        <v>69</v>
      </c>
      <c r="C60" s="209"/>
      <c r="D60" s="108" t="s">
        <v>272</v>
      </c>
      <c r="E60" s="161" t="s">
        <v>487</v>
      </c>
      <c r="F60" s="152">
        <v>47400</v>
      </c>
      <c r="G60" s="161" t="s">
        <v>487</v>
      </c>
      <c r="H60" s="152">
        <v>47400</v>
      </c>
    </row>
    <row r="61" spans="2:8" ht="16.5" customHeight="1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ht="16.5" customHeight="1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ht="16.5" customHeight="1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ht="16.5" customHeight="1" x14ac:dyDescent="0.25">
      <c r="B64" s="208" t="s">
        <v>488</v>
      </c>
      <c r="C64" s="209"/>
      <c r="D64" s="150" t="s">
        <v>272</v>
      </c>
      <c r="E64" s="108" t="s">
        <v>489</v>
      </c>
      <c r="F64" s="152">
        <v>60000</v>
      </c>
      <c r="G64" s="108" t="s">
        <v>489</v>
      </c>
      <c r="H64" s="151">
        <v>59700.59</v>
      </c>
    </row>
    <row r="65" spans="2:8" ht="16.5" customHeight="1" x14ac:dyDescent="0.25">
      <c r="B65" s="208" t="s">
        <v>417</v>
      </c>
      <c r="C65" s="209"/>
      <c r="D65" s="153"/>
      <c r="E65" s="108" t="s">
        <v>490</v>
      </c>
      <c r="F65" s="152">
        <v>1196</v>
      </c>
      <c r="G65" s="108"/>
      <c r="H65" s="152"/>
    </row>
    <row r="66" spans="2:8" ht="16.5" customHeight="1" x14ac:dyDescent="0.25">
      <c r="B66" s="208" t="s">
        <v>283</v>
      </c>
      <c r="C66" s="209"/>
      <c r="D66" s="150"/>
      <c r="E66" s="150"/>
      <c r="F66" s="151"/>
      <c r="G66" s="150"/>
      <c r="H66" s="151">
        <v>435.38</v>
      </c>
    </row>
    <row r="67" spans="2:8" ht="16.5" customHeight="1" x14ac:dyDescent="0.25">
      <c r="B67" s="243" t="s">
        <v>50</v>
      </c>
      <c r="C67" s="244"/>
      <c r="D67" s="108"/>
      <c r="E67" s="108"/>
      <c r="F67" s="162"/>
      <c r="G67" s="163"/>
      <c r="H67" s="162"/>
    </row>
    <row r="68" spans="2:8" ht="44.25" customHeight="1" x14ac:dyDescent="0.25">
      <c r="B68" s="208" t="s">
        <v>51</v>
      </c>
      <c r="C68" s="209"/>
      <c r="D68" s="153" t="s">
        <v>284</v>
      </c>
      <c r="E68" s="108"/>
      <c r="F68" s="154"/>
      <c r="G68" s="108" t="s">
        <v>271</v>
      </c>
      <c r="H68" s="154"/>
    </row>
    <row r="69" spans="2:8" ht="46.5" customHeight="1" x14ac:dyDescent="0.25">
      <c r="B69" s="208" t="s">
        <v>52</v>
      </c>
      <c r="C69" s="209"/>
      <c r="D69" s="108" t="s">
        <v>285</v>
      </c>
      <c r="E69" s="108"/>
      <c r="F69" s="154"/>
      <c r="G69" s="108" t="s">
        <v>271</v>
      </c>
      <c r="H69" s="154"/>
    </row>
    <row r="70" spans="2:8" ht="51" customHeight="1" x14ac:dyDescent="0.25">
      <c r="B70" s="208" t="s">
        <v>53</v>
      </c>
      <c r="C70" s="209"/>
      <c r="D70" s="108" t="s">
        <v>286</v>
      </c>
      <c r="E70" s="108"/>
      <c r="F70" s="154"/>
      <c r="G70" s="108" t="s">
        <v>271</v>
      </c>
      <c r="H70" s="154"/>
    </row>
    <row r="71" spans="2:8" ht="84" customHeight="1" x14ac:dyDescent="0.25">
      <c r="B71" s="208" t="s">
        <v>54</v>
      </c>
      <c r="C71" s="209"/>
      <c r="D71" s="150" t="s">
        <v>266</v>
      </c>
      <c r="E71" s="150" t="s">
        <v>271</v>
      </c>
      <c r="F71" s="151">
        <v>7566.23</v>
      </c>
      <c r="G71" s="150" t="s">
        <v>271</v>
      </c>
      <c r="H71" s="151">
        <v>7288.73</v>
      </c>
    </row>
    <row r="72" spans="2:8" ht="16.5" customHeight="1" x14ac:dyDescent="0.25">
      <c r="B72" s="208" t="s">
        <v>55</v>
      </c>
      <c r="C72" s="209"/>
      <c r="D72" s="108" t="s">
        <v>266</v>
      </c>
      <c r="E72" s="108" t="s">
        <v>314</v>
      </c>
      <c r="F72" s="152">
        <v>2464</v>
      </c>
      <c r="G72" s="108" t="s">
        <v>439</v>
      </c>
      <c r="H72" s="152">
        <f>37059.3+3154.6</f>
        <v>40213.9</v>
      </c>
    </row>
    <row r="73" spans="2:8" x14ac:dyDescent="0.25">
      <c r="B73" s="208" t="s">
        <v>56</v>
      </c>
      <c r="C73" s="209"/>
      <c r="D73" s="108" t="s">
        <v>266</v>
      </c>
      <c r="E73" s="108" t="s">
        <v>271</v>
      </c>
      <c r="F73" s="152">
        <v>16531.54</v>
      </c>
      <c r="G73" s="108" t="s">
        <v>271</v>
      </c>
      <c r="H73" s="152">
        <v>16531.54</v>
      </c>
    </row>
    <row r="74" spans="2:8" x14ac:dyDescent="0.25">
      <c r="B74" s="208" t="s">
        <v>57</v>
      </c>
      <c r="C74" s="209"/>
      <c r="D74" s="108" t="s">
        <v>266</v>
      </c>
      <c r="E74" s="108"/>
      <c r="F74" s="154"/>
      <c r="G74" s="108" t="s">
        <v>271</v>
      </c>
      <c r="H74" s="154"/>
    </row>
    <row r="75" spans="2:8" x14ac:dyDescent="0.25">
      <c r="B75" s="208" t="s">
        <v>58</v>
      </c>
      <c r="C75" s="209"/>
      <c r="D75" s="108" t="s">
        <v>266</v>
      </c>
      <c r="E75" s="108"/>
      <c r="F75" s="164"/>
      <c r="G75" s="108" t="s">
        <v>271</v>
      </c>
      <c r="H75" s="164"/>
    </row>
    <row r="76" spans="2:8" x14ac:dyDescent="0.25">
      <c r="B76" s="208" t="s">
        <v>282</v>
      </c>
      <c r="C76" s="209"/>
      <c r="D76" s="108"/>
      <c r="E76" s="108"/>
      <c r="F76" s="154"/>
      <c r="G76" s="108"/>
      <c r="H76" s="154"/>
    </row>
    <row r="77" spans="2:8" x14ac:dyDescent="0.25">
      <c r="B77" s="243" t="s">
        <v>59</v>
      </c>
      <c r="C77" s="244"/>
      <c r="D77" s="108"/>
      <c r="E77" s="108"/>
      <c r="F77" s="162"/>
      <c r="G77" s="108"/>
      <c r="H77" s="162"/>
    </row>
    <row r="78" spans="2:8" ht="35.25" customHeight="1" x14ac:dyDescent="0.25">
      <c r="B78" s="208" t="s">
        <v>60</v>
      </c>
      <c r="C78" s="209"/>
      <c r="D78" s="108" t="s">
        <v>272</v>
      </c>
      <c r="E78" s="108"/>
      <c r="F78" s="154"/>
      <c r="G78" s="108" t="s">
        <v>271</v>
      </c>
      <c r="H78" s="154"/>
    </row>
    <row r="79" spans="2:8" ht="38.25" customHeight="1" x14ac:dyDescent="0.25">
      <c r="B79" s="208" t="s">
        <v>61</v>
      </c>
      <c r="C79" s="209"/>
      <c r="D79" s="108" t="s">
        <v>270</v>
      </c>
      <c r="E79" s="108"/>
      <c r="F79" s="154"/>
      <c r="G79" s="108" t="s">
        <v>271</v>
      </c>
      <c r="H79" s="154"/>
    </row>
    <row r="80" spans="2:8" ht="74.25" customHeight="1" x14ac:dyDescent="0.25">
      <c r="B80" s="208" t="s">
        <v>62</v>
      </c>
      <c r="C80" s="209"/>
      <c r="D80" s="150" t="s">
        <v>266</v>
      </c>
      <c r="E80" s="150" t="s">
        <v>271</v>
      </c>
      <c r="F80" s="151">
        <f>8101.22+5716.71+3974.18</f>
        <v>17792.11</v>
      </c>
      <c r="G80" s="150" t="s">
        <v>271</v>
      </c>
      <c r="H80" s="151">
        <f>8177.65+5724.35+4007.05</f>
        <v>17909.05</v>
      </c>
    </row>
    <row r="81" spans="2:11" x14ac:dyDescent="0.25">
      <c r="B81" s="208" t="s">
        <v>290</v>
      </c>
      <c r="C81" s="209"/>
      <c r="D81" s="108" t="s">
        <v>291</v>
      </c>
      <c r="E81" s="161" t="s">
        <v>491</v>
      </c>
      <c r="F81" s="152">
        <f>14831.4+2772+7520.38</f>
        <v>25123.780000000002</v>
      </c>
      <c r="G81" s="108" t="s">
        <v>492</v>
      </c>
      <c r="H81" s="152">
        <f>14831.4+415.4+10029.2+4492.6</f>
        <v>29768.6</v>
      </c>
    </row>
    <row r="82" spans="2:11" x14ac:dyDescent="0.25">
      <c r="B82" s="208" t="s">
        <v>282</v>
      </c>
      <c r="C82" s="209"/>
      <c r="D82" s="108"/>
      <c r="E82" s="108"/>
      <c r="F82" s="154"/>
      <c r="G82" s="108"/>
      <c r="H82" s="152"/>
    </row>
    <row r="83" spans="2:11" ht="15.75" customHeight="1" x14ac:dyDescent="0.25">
      <c r="B83" s="243" t="s">
        <v>63</v>
      </c>
      <c r="C83" s="244"/>
      <c r="D83" s="153"/>
      <c r="E83" s="108" t="s">
        <v>271</v>
      </c>
      <c r="F83" s="152">
        <v>14961.52</v>
      </c>
      <c r="G83" s="108" t="s">
        <v>271</v>
      </c>
      <c r="H83" s="152">
        <v>14961.52</v>
      </c>
    </row>
    <row r="84" spans="2:11" ht="15" customHeight="1" x14ac:dyDescent="0.25">
      <c r="B84" s="243" t="s">
        <v>64</v>
      </c>
      <c r="C84" s="244"/>
      <c r="D84" s="108"/>
      <c r="E84" s="108" t="s">
        <v>271</v>
      </c>
      <c r="F84" s="152">
        <v>12686.82</v>
      </c>
      <c r="G84" s="108" t="s">
        <v>271</v>
      </c>
      <c r="H84" s="152">
        <v>12406.06</v>
      </c>
    </row>
    <row r="85" spans="2:11" ht="18.75" customHeight="1" x14ac:dyDescent="0.25">
      <c r="B85" s="243" t="s">
        <v>294</v>
      </c>
      <c r="C85" s="244"/>
      <c r="D85" s="108"/>
      <c r="E85" s="108"/>
      <c r="F85" s="162"/>
      <c r="G85" s="163"/>
      <c r="H85" s="162"/>
    </row>
    <row r="86" spans="2:11" ht="21.75" customHeight="1" x14ac:dyDescent="0.25">
      <c r="B86" s="208" t="s">
        <v>295</v>
      </c>
      <c r="C86" s="209"/>
      <c r="D86" s="153" t="s">
        <v>296</v>
      </c>
      <c r="E86" s="108"/>
      <c r="F86" s="152">
        <v>2445.65</v>
      </c>
      <c r="G86" s="108"/>
      <c r="H86" s="152">
        <v>3574.44</v>
      </c>
    </row>
    <row r="87" spans="2:11" x14ac:dyDescent="0.25">
      <c r="B87" s="208" t="s">
        <v>71</v>
      </c>
      <c r="C87" s="209"/>
      <c r="D87" s="153" t="s">
        <v>297</v>
      </c>
      <c r="E87" s="108" t="s">
        <v>298</v>
      </c>
      <c r="F87" s="152">
        <v>2820</v>
      </c>
      <c r="G87" s="108" t="s">
        <v>298</v>
      </c>
      <c r="H87" s="152">
        <v>2683.62</v>
      </c>
    </row>
    <row r="88" spans="2:11" x14ac:dyDescent="0.25">
      <c r="B88" s="208" t="s">
        <v>72</v>
      </c>
      <c r="C88" s="209"/>
      <c r="D88" s="108" t="s">
        <v>299</v>
      </c>
      <c r="E88" s="108" t="s">
        <v>493</v>
      </c>
      <c r="F88" s="152">
        <v>1796.34</v>
      </c>
      <c r="G88" s="108" t="s">
        <v>493</v>
      </c>
      <c r="H88" s="152">
        <v>1796.34</v>
      </c>
    </row>
    <row r="89" spans="2:11" x14ac:dyDescent="0.25">
      <c r="B89" s="208" t="s">
        <v>301</v>
      </c>
      <c r="C89" s="209"/>
      <c r="D89" s="108" t="s">
        <v>291</v>
      </c>
      <c r="E89" s="108" t="s">
        <v>271</v>
      </c>
      <c r="F89" s="152">
        <v>14131.28</v>
      </c>
      <c r="G89" s="108" t="s">
        <v>271</v>
      </c>
      <c r="H89" s="161">
        <v>14131.28</v>
      </c>
    </row>
    <row r="90" spans="2:11" x14ac:dyDescent="0.25">
      <c r="B90" s="208" t="s">
        <v>282</v>
      </c>
      <c r="C90" s="209"/>
      <c r="D90" s="108"/>
      <c r="E90" s="108"/>
      <c r="F90" s="154"/>
      <c r="G90" s="108"/>
      <c r="H90" s="154"/>
      <c r="K90" s="5"/>
    </row>
    <row r="91" spans="2:11" x14ac:dyDescent="0.25">
      <c r="B91" s="208" t="s">
        <v>302</v>
      </c>
      <c r="C91" s="209"/>
      <c r="D91" s="108" t="s">
        <v>291</v>
      </c>
      <c r="E91" s="108" t="s">
        <v>494</v>
      </c>
      <c r="F91" s="152">
        <v>6266.98</v>
      </c>
      <c r="G91" s="108" t="s">
        <v>494</v>
      </c>
      <c r="H91" s="152">
        <v>5155.49</v>
      </c>
    </row>
    <row r="92" spans="2:11" ht="40.5" customHeight="1" x14ac:dyDescent="0.25">
      <c r="B92" s="208" t="s">
        <v>320</v>
      </c>
      <c r="C92" s="209"/>
      <c r="D92" s="108"/>
      <c r="E92" s="108"/>
      <c r="F92" s="152">
        <v>73681.179999999993</v>
      </c>
      <c r="G92" s="108"/>
      <c r="H92" s="152">
        <v>73681.179999999993</v>
      </c>
    </row>
    <row r="93" spans="2:11" ht="23.25" customHeight="1" x14ac:dyDescent="0.25">
      <c r="B93" s="206" t="s">
        <v>73</v>
      </c>
      <c r="C93" s="207"/>
      <c r="D93" s="108"/>
      <c r="E93" s="108"/>
      <c r="F93" s="165">
        <v>568000</v>
      </c>
      <c r="G93" s="165"/>
      <c r="H93" s="165">
        <f>595934.8-43927.4</f>
        <v>552007.4</v>
      </c>
    </row>
    <row r="94" spans="2:11" x14ac:dyDescent="0.25">
      <c r="B94" s="9"/>
      <c r="C94" s="9"/>
      <c r="D94" s="5"/>
      <c r="E94" s="5"/>
      <c r="F94" s="15"/>
      <c r="G94" s="5"/>
      <c r="H94" s="15"/>
    </row>
    <row r="95" spans="2:11" x14ac:dyDescent="0.25">
      <c r="B95" s="201" t="s">
        <v>177</v>
      </c>
      <c r="C95" s="201"/>
      <c r="D95" s="201"/>
      <c r="E95" s="201"/>
      <c r="F95" s="201"/>
      <c r="G95" s="201"/>
    </row>
    <row r="96" spans="2:11" ht="63" customHeight="1" x14ac:dyDescent="0.25">
      <c r="B96" s="194" t="s">
        <v>29</v>
      </c>
      <c r="C96" s="194"/>
      <c r="D96" s="91" t="s">
        <v>30</v>
      </c>
      <c r="E96" s="91" t="s">
        <v>31</v>
      </c>
      <c r="F96" s="89" t="s">
        <v>82</v>
      </c>
      <c r="G96" s="89" t="s">
        <v>32</v>
      </c>
    </row>
    <row r="97" spans="2:8" x14ac:dyDescent="0.25">
      <c r="B97" s="181" t="s">
        <v>83</v>
      </c>
      <c r="C97" s="183"/>
      <c r="D97" s="88">
        <v>43268.12</v>
      </c>
      <c r="E97" s="88">
        <v>26223.42</v>
      </c>
      <c r="F97" s="88">
        <f>E97</f>
        <v>26223.42</v>
      </c>
      <c r="G97" s="85">
        <f>50311.86-10817.03</f>
        <v>39494.83</v>
      </c>
    </row>
    <row r="98" spans="2:8" x14ac:dyDescent="0.25">
      <c r="B98" s="181" t="s">
        <v>84</v>
      </c>
      <c r="C98" s="183"/>
      <c r="D98" s="88">
        <f>26403.05+622.06+7151.03+212.52+8163.76+121.51+13736.54</f>
        <v>56410.47</v>
      </c>
      <c r="E98" s="88">
        <f>24906.71+6797.78+7267.1+11975.71</f>
        <v>50947.299999999996</v>
      </c>
      <c r="F98" s="98">
        <f t="shared" ref="F98:F105" si="0">E98</f>
        <v>50947.299999999996</v>
      </c>
      <c r="G98" s="85">
        <f>42535.9+11449.42+7906.95-6652.9-1801.87-2057.06+5789.64</f>
        <v>57170.079999999994</v>
      </c>
    </row>
    <row r="99" spans="2:8" ht="30" customHeight="1" x14ac:dyDescent="0.25">
      <c r="B99" s="174" t="s">
        <v>85</v>
      </c>
      <c r="C99" s="175"/>
      <c r="D99" s="88">
        <v>15152.4</v>
      </c>
      <c r="E99" s="88">
        <v>16450.97</v>
      </c>
      <c r="F99" s="98">
        <f t="shared" si="0"/>
        <v>16450.97</v>
      </c>
      <c r="G99" s="85">
        <f>18611.63-3788.1</f>
        <v>14823.53</v>
      </c>
    </row>
    <row r="100" spans="2:8" ht="30" customHeight="1" x14ac:dyDescent="0.25">
      <c r="B100" s="174" t="s">
        <v>86</v>
      </c>
      <c r="C100" s="175"/>
      <c r="D100" s="88">
        <v>3872.76</v>
      </c>
      <c r="E100" s="88">
        <v>4053.14</v>
      </c>
      <c r="F100" s="98">
        <f t="shared" si="0"/>
        <v>4053.14</v>
      </c>
      <c r="G100" s="85">
        <f>4287.03-968.19</f>
        <v>3318.8399999999997</v>
      </c>
    </row>
    <row r="101" spans="2:8" x14ac:dyDescent="0.25">
      <c r="B101" s="174" t="s">
        <v>87</v>
      </c>
      <c r="C101" s="175"/>
      <c r="D101" s="88">
        <v>56064.36</v>
      </c>
      <c r="E101" s="88">
        <f>4366.07+55199.21</f>
        <v>59565.279999999999</v>
      </c>
      <c r="F101" s="98">
        <f t="shared" si="0"/>
        <v>59565.279999999999</v>
      </c>
      <c r="G101" s="85">
        <f>60621.24+50959.49-14016.09</f>
        <v>97564.64</v>
      </c>
    </row>
    <row r="102" spans="2:8" x14ac:dyDescent="0.25">
      <c r="B102" s="174" t="s">
        <v>88</v>
      </c>
      <c r="C102" s="175"/>
      <c r="D102" s="88">
        <v>2693.28</v>
      </c>
      <c r="E102" s="88">
        <v>2938</v>
      </c>
      <c r="F102" s="98">
        <f t="shared" si="0"/>
        <v>2938</v>
      </c>
      <c r="G102" s="85">
        <f>3447.93-673.32</f>
        <v>2774.6099999999997</v>
      </c>
    </row>
    <row r="103" spans="2:8" x14ac:dyDescent="0.25">
      <c r="B103" s="174" t="s">
        <v>150</v>
      </c>
      <c r="C103" s="175"/>
      <c r="D103" s="88">
        <v>6720</v>
      </c>
      <c r="E103" s="88">
        <f>7453.39+41.72</f>
        <v>7495.1100000000006</v>
      </c>
      <c r="F103" s="98">
        <f t="shared" si="0"/>
        <v>7495.1100000000006</v>
      </c>
      <c r="G103" s="85">
        <f>9768.44+927.16-1680</f>
        <v>9015.6</v>
      </c>
    </row>
    <row r="104" spans="2:8" x14ac:dyDescent="0.25">
      <c r="B104" s="174" t="s">
        <v>89</v>
      </c>
      <c r="C104" s="175"/>
      <c r="D104" s="88">
        <v>9500</v>
      </c>
      <c r="E104" s="88">
        <v>10114.76</v>
      </c>
      <c r="F104" s="98">
        <f t="shared" si="0"/>
        <v>10114.76</v>
      </c>
      <c r="G104" s="85">
        <f>9171.32-2375</f>
        <v>6796.32</v>
      </c>
    </row>
    <row r="105" spans="2:8" ht="30" x14ac:dyDescent="0.25">
      <c r="B105" s="86" t="s">
        <v>81</v>
      </c>
      <c r="C105" s="87"/>
      <c r="D105" s="88">
        <f>16836-125.09</f>
        <v>16710.91</v>
      </c>
      <c r="E105" s="88">
        <f>18834.15+3647.42+118.85+87.13</f>
        <v>22687.55</v>
      </c>
      <c r="F105" s="98">
        <f t="shared" si="0"/>
        <v>22687.55</v>
      </c>
      <c r="G105" s="85">
        <f>23427.76+796.05+2418.36+462.07+425.96-4209</f>
        <v>23321.199999999997</v>
      </c>
    </row>
    <row r="106" spans="2:8" ht="18.75" customHeight="1" x14ac:dyDescent="0.25">
      <c r="B106" s="202" t="s">
        <v>90</v>
      </c>
      <c r="C106" s="203"/>
      <c r="D106" s="90">
        <f>SUM(D97:D105)</f>
        <v>210392.3</v>
      </c>
      <c r="E106" s="90">
        <f>SUM(E97:E105)</f>
        <v>200475.52999999997</v>
      </c>
      <c r="F106" s="88">
        <f>E106</f>
        <v>200475.52999999997</v>
      </c>
      <c r="G106" s="90">
        <f>SUM(G97:G105)</f>
        <v>254279.64999999997</v>
      </c>
    </row>
    <row r="107" spans="2:8" x14ac:dyDescent="0.25">
      <c r="B107" s="202" t="s">
        <v>91</v>
      </c>
      <c r="C107" s="203"/>
      <c r="D107" s="96">
        <f>D106+F118+E38+C141</f>
        <v>1744827.3900000001</v>
      </c>
      <c r="E107" s="96">
        <f>E106+G118+F38+D141</f>
        <v>1612824.56</v>
      </c>
      <c r="F107" s="96">
        <f>E107</f>
        <v>1612824.56</v>
      </c>
      <c r="G107" s="96">
        <f>G38+G106+H118+F141</f>
        <v>1611955.1600000001</v>
      </c>
    </row>
    <row r="108" spans="2:8" x14ac:dyDescent="0.25">
      <c r="B108" s="16"/>
      <c r="C108" s="16"/>
      <c r="D108" s="16"/>
      <c r="E108" s="17"/>
      <c r="F108" s="17"/>
      <c r="G108" s="17"/>
      <c r="H108" s="17"/>
    </row>
    <row r="109" spans="2:8" x14ac:dyDescent="0.25">
      <c r="B109" s="204" t="s">
        <v>176</v>
      </c>
      <c r="C109" s="201"/>
      <c r="D109" s="201"/>
      <c r="E109" s="201"/>
      <c r="F109" s="201"/>
    </row>
    <row r="110" spans="2:8" ht="38.25" customHeight="1" x14ac:dyDescent="0.25">
      <c r="B110" s="194" t="s">
        <v>29</v>
      </c>
      <c r="C110" s="194" t="s">
        <v>93</v>
      </c>
      <c r="D110" s="194"/>
      <c r="E110" s="205" t="s">
        <v>94</v>
      </c>
      <c r="F110" s="194" t="s">
        <v>30</v>
      </c>
      <c r="G110" s="194" t="s">
        <v>31</v>
      </c>
      <c r="H110" s="195" t="s">
        <v>95</v>
      </c>
    </row>
    <row r="111" spans="2:8" ht="35.25" customHeight="1" x14ac:dyDescent="0.25">
      <c r="B111" s="194"/>
      <c r="C111" s="91" t="s">
        <v>96</v>
      </c>
      <c r="D111" s="19" t="s">
        <v>97</v>
      </c>
      <c r="E111" s="205"/>
      <c r="F111" s="194"/>
      <c r="G111" s="194"/>
      <c r="H111" s="195"/>
    </row>
    <row r="112" spans="2:8" x14ac:dyDescent="0.25">
      <c r="B112" s="10" t="s">
        <v>98</v>
      </c>
      <c r="C112" s="88">
        <v>1400.08</v>
      </c>
      <c r="D112" s="42">
        <v>1439.26</v>
      </c>
      <c r="E112" s="110">
        <v>269.37</v>
      </c>
      <c r="F112" s="88">
        <f>-7834.33+387691.2+6716.77</f>
        <v>386573.64</v>
      </c>
      <c r="G112" s="88">
        <f>2957.89+240018.91</f>
        <v>242976.80000000002</v>
      </c>
      <c r="H112" s="88">
        <f>5012.52+412611.41-147735.9</f>
        <v>269888.03000000003</v>
      </c>
    </row>
    <row r="113" spans="2:8" x14ac:dyDescent="0.25">
      <c r="B113" s="10" t="s">
        <v>147</v>
      </c>
      <c r="C113" s="88">
        <v>22.15</v>
      </c>
      <c r="D113" s="42">
        <v>26.44</v>
      </c>
      <c r="E113" s="110">
        <v>1635.84</v>
      </c>
      <c r="F113" s="88">
        <f>142332.33+27900.35+17831.36-14156.9-1665.72-17950.5</f>
        <v>154290.91999999998</v>
      </c>
      <c r="G113" s="88">
        <f>148341.85+19439.94-222.63-386.37</f>
        <v>167172.79</v>
      </c>
      <c r="H113" s="88">
        <f>299577.85+18342.75-0.11+1060.79-39900.54+128.63-4142.4+624.47</f>
        <v>275691.43999999994</v>
      </c>
    </row>
    <row r="114" spans="2:8" x14ac:dyDescent="0.25">
      <c r="B114" s="10" t="s">
        <v>99</v>
      </c>
      <c r="C114" s="88">
        <v>18.43</v>
      </c>
      <c r="D114" s="42">
        <v>19.22</v>
      </c>
      <c r="E114" s="110">
        <v>2288.16</v>
      </c>
      <c r="F114" s="88">
        <f>3466.53-120.97+44089.98+5502.1+27974.43+891.2</f>
        <v>81803.27</v>
      </c>
      <c r="G114" s="88">
        <f>2615.71+4604.93+47539.48+23610.27</f>
        <v>78370.39</v>
      </c>
      <c r="H114" s="88">
        <f>5056.66+3328.56+107223.09+33209.6-838.68+125.14-10414.61+13.67-8079.34-114.56</f>
        <v>129509.53000000003</v>
      </c>
    </row>
    <row r="115" spans="2:8" x14ac:dyDescent="0.25">
      <c r="B115" s="10" t="s">
        <v>100</v>
      </c>
      <c r="C115" s="88">
        <v>12.31</v>
      </c>
      <c r="D115" s="42">
        <v>12.84</v>
      </c>
      <c r="E115" s="110">
        <v>3842.72</v>
      </c>
      <c r="F115" s="88">
        <f>48142.87+6858.73-2053.68</f>
        <v>52947.920000000006</v>
      </c>
      <c r="G115" s="88">
        <f>50093.33+173.1</f>
        <v>50266.43</v>
      </c>
      <c r="H115" s="88">
        <f>109092.38+377.27-12354.99-67.52</f>
        <v>97047.14</v>
      </c>
    </row>
    <row r="116" spans="2:8" x14ac:dyDescent="0.25">
      <c r="B116" s="10" t="s">
        <v>101</v>
      </c>
      <c r="C116" s="88" t="s">
        <v>145</v>
      </c>
      <c r="D116" s="42" t="s">
        <v>146</v>
      </c>
      <c r="E116" s="110">
        <v>60754.55</v>
      </c>
      <c r="F116" s="88">
        <f>38995.42-2712.95+135393.76-5816.25-15.32</f>
        <v>165844.66</v>
      </c>
      <c r="G116" s="88">
        <f>60409.45+133502.11</f>
        <v>193911.56</v>
      </c>
      <c r="H116" s="88">
        <f>71219.08+258802.92+410.17-6809.12+1181.52-34874.29-1336.03</f>
        <v>288594.25</v>
      </c>
    </row>
    <row r="117" spans="2:8" x14ac:dyDescent="0.25">
      <c r="B117" s="10" t="s">
        <v>102</v>
      </c>
      <c r="C117" s="88">
        <v>2.2999999999999998</v>
      </c>
      <c r="D117" s="42">
        <v>2.39</v>
      </c>
      <c r="E117" s="110">
        <v>6008.69</v>
      </c>
      <c r="F117" s="88">
        <f>15532.19-90.64</f>
        <v>15441.550000000001</v>
      </c>
      <c r="G117" s="88">
        <v>15548.53</v>
      </c>
      <c r="H117" s="88">
        <f>11830.43-3894.56-4.13</f>
        <v>7931.7400000000007</v>
      </c>
    </row>
    <row r="118" spans="2:8" x14ac:dyDescent="0.25">
      <c r="B118" s="11" t="s">
        <v>103</v>
      </c>
      <c r="C118" s="90"/>
      <c r="D118" s="42"/>
      <c r="E118" s="4"/>
      <c r="F118" s="90">
        <f>SUM(F112:F117)</f>
        <v>856901.9600000002</v>
      </c>
      <c r="G118" s="90">
        <f>SUM(G112:G117)</f>
        <v>748246.5</v>
      </c>
      <c r="H118" s="90">
        <f>SUM(H112:H117)</f>
        <v>1068662.1300000001</v>
      </c>
    </row>
    <row r="119" spans="2:8" x14ac:dyDescent="0.25">
      <c r="B119" s="16"/>
      <c r="C119" s="16"/>
      <c r="D119" s="16"/>
      <c r="E119" s="17"/>
      <c r="F119" s="17"/>
      <c r="G119" s="17"/>
      <c r="H119" s="17"/>
    </row>
    <row r="120" spans="2:8" x14ac:dyDescent="0.25">
      <c r="B120" s="16"/>
      <c r="C120" s="16" t="s">
        <v>244</v>
      </c>
      <c r="D120" s="16"/>
      <c r="E120" s="17"/>
      <c r="F120" s="17"/>
      <c r="G120" s="17"/>
      <c r="H120" s="17"/>
    </row>
    <row r="121" spans="2:8" x14ac:dyDescent="0.25">
      <c r="B121" s="137" t="s">
        <v>228</v>
      </c>
      <c r="C121" s="137" t="s">
        <v>229</v>
      </c>
      <c r="D121" s="137"/>
      <c r="E121" s="131" t="s">
        <v>230</v>
      </c>
      <c r="F121" s="17"/>
      <c r="G121" s="17"/>
      <c r="H121" s="17"/>
    </row>
    <row r="122" spans="2:8" x14ac:dyDescent="0.25">
      <c r="B122" s="133" t="s">
        <v>231</v>
      </c>
      <c r="C122" s="199">
        <v>1</v>
      </c>
      <c r="D122" s="200"/>
      <c r="E122" s="105">
        <v>100</v>
      </c>
      <c r="F122" s="17"/>
      <c r="G122" s="17"/>
      <c r="H122" s="17"/>
    </row>
    <row r="123" spans="2:8" x14ac:dyDescent="0.25">
      <c r="B123" s="133" t="s">
        <v>232</v>
      </c>
      <c r="C123" s="199">
        <v>12</v>
      </c>
      <c r="D123" s="200"/>
      <c r="E123" s="105">
        <v>100</v>
      </c>
      <c r="F123" s="17"/>
      <c r="G123" s="17"/>
      <c r="H123" s="17"/>
    </row>
    <row r="124" spans="2:8" x14ac:dyDescent="0.25">
      <c r="B124" s="133" t="s">
        <v>233</v>
      </c>
      <c r="C124" s="199"/>
      <c r="D124" s="200"/>
      <c r="E124" s="105"/>
      <c r="F124" s="17"/>
      <c r="G124" s="17"/>
      <c r="H124" s="17"/>
    </row>
    <row r="125" spans="2:8" x14ac:dyDescent="0.25">
      <c r="B125" s="133" t="s">
        <v>234</v>
      </c>
      <c r="C125" s="199">
        <v>1</v>
      </c>
      <c r="D125" s="200"/>
      <c r="E125" s="105">
        <v>100</v>
      </c>
      <c r="F125" s="17"/>
      <c r="G125" s="17"/>
      <c r="H125" s="17"/>
    </row>
    <row r="126" spans="2:8" x14ac:dyDescent="0.25">
      <c r="B126" s="133" t="s">
        <v>235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236</v>
      </c>
      <c r="C127" s="199"/>
      <c r="D127" s="200"/>
      <c r="E127" s="105"/>
      <c r="F127" s="17"/>
      <c r="G127" s="17"/>
      <c r="H127" s="17"/>
    </row>
    <row r="128" spans="2:8" x14ac:dyDescent="0.25">
      <c r="B128" s="133" t="s">
        <v>70</v>
      </c>
      <c r="C128" s="199">
        <v>3</v>
      </c>
      <c r="D128" s="200"/>
      <c r="E128" s="105">
        <v>100</v>
      </c>
      <c r="F128" s="17"/>
      <c r="G128" s="17"/>
      <c r="H128" s="17"/>
    </row>
    <row r="129" spans="2:8" x14ac:dyDescent="0.25">
      <c r="B129" s="133" t="s">
        <v>237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238</v>
      </c>
      <c r="C130" s="199">
        <v>1</v>
      </c>
      <c r="D130" s="200"/>
      <c r="E130" s="105">
        <v>100</v>
      </c>
      <c r="F130" s="17"/>
      <c r="G130" s="17"/>
      <c r="H130" s="17"/>
    </row>
    <row r="131" spans="2:8" x14ac:dyDescent="0.25">
      <c r="B131" s="133" t="s">
        <v>239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240</v>
      </c>
      <c r="C132" s="199"/>
      <c r="D132" s="200"/>
      <c r="E132" s="129"/>
      <c r="F132" s="17"/>
      <c r="G132" s="17"/>
      <c r="H132" s="17"/>
    </row>
    <row r="133" spans="2:8" x14ac:dyDescent="0.25">
      <c r="B133" s="133" t="s">
        <v>241</v>
      </c>
      <c r="C133" s="199"/>
      <c r="D133" s="200"/>
      <c r="E133" s="129"/>
      <c r="F133" s="17"/>
      <c r="G133" s="17"/>
      <c r="H133" s="17"/>
    </row>
    <row r="134" spans="2:8" x14ac:dyDescent="0.25">
      <c r="B134" s="133" t="s">
        <v>242</v>
      </c>
      <c r="C134" s="199"/>
      <c r="D134" s="200"/>
      <c r="E134" s="129"/>
      <c r="F134" s="17"/>
      <c r="G134" s="17"/>
      <c r="H134" s="17"/>
    </row>
    <row r="135" spans="2:8" x14ac:dyDescent="0.25">
      <c r="B135" s="133" t="s">
        <v>243</v>
      </c>
      <c r="C135" s="199"/>
      <c r="D135" s="200"/>
      <c r="E135" s="129"/>
      <c r="F135" s="17"/>
      <c r="G135" s="17"/>
      <c r="H135" s="17"/>
    </row>
    <row r="136" spans="2:8" x14ac:dyDescent="0.25">
      <c r="B136" s="139" t="s">
        <v>103</v>
      </c>
      <c r="C136" s="245">
        <f>SUM(C122:C135)</f>
        <v>18</v>
      </c>
      <c r="D136" s="246"/>
      <c r="E136" s="145">
        <v>100</v>
      </c>
      <c r="F136" s="9"/>
      <c r="G136" s="9"/>
      <c r="H136" s="17"/>
    </row>
    <row r="137" spans="2:8" x14ac:dyDescent="0.25">
      <c r="B137" s="12"/>
      <c r="C137" s="12"/>
      <c r="D137" s="9"/>
      <c r="E137" s="9"/>
      <c r="F137" s="9"/>
      <c r="G137" s="9"/>
    </row>
    <row r="138" spans="2:8" ht="44.25" customHeight="1" x14ac:dyDescent="0.25">
      <c r="B138" s="33"/>
      <c r="C138" s="90" t="s">
        <v>30</v>
      </c>
      <c r="D138" s="90" t="s">
        <v>31</v>
      </c>
      <c r="E138" s="89" t="s">
        <v>104</v>
      </c>
      <c r="F138" s="89" t="s">
        <v>32</v>
      </c>
    </row>
    <row r="139" spans="2:8" x14ac:dyDescent="0.25">
      <c r="B139" s="32" t="s">
        <v>105</v>
      </c>
      <c r="C139" s="88">
        <v>75830</v>
      </c>
      <c r="D139" s="88">
        <f>78734.2+77.77+8.61</f>
        <v>78820.58</v>
      </c>
      <c r="E139" s="88"/>
      <c r="F139" s="85">
        <f>79250.67+2233.96+189.76-18957.5</f>
        <v>62716.89</v>
      </c>
    </row>
    <row r="140" spans="2:8" x14ac:dyDescent="0.25">
      <c r="B140" s="32" t="s">
        <v>106</v>
      </c>
      <c r="C140" s="88">
        <v>7171.88</v>
      </c>
      <c r="D140" s="88">
        <f>697.97+11050.51</f>
        <v>11748.48</v>
      </c>
      <c r="E140" s="98"/>
      <c r="F140" s="85">
        <f>3159.6+21451.15-1792.97</f>
        <v>22817.78</v>
      </c>
    </row>
    <row r="141" spans="2:8" ht="28.5" x14ac:dyDescent="0.25">
      <c r="B141" s="33" t="s">
        <v>178</v>
      </c>
      <c r="C141" s="90">
        <f>SUM(C139:C140)</f>
        <v>83001.88</v>
      </c>
      <c r="D141" s="90">
        <f>SUM(D139:D140)</f>
        <v>90569.06</v>
      </c>
      <c r="E141" s="90"/>
      <c r="F141" s="90">
        <f>SUM(F139:F140)</f>
        <v>85534.67</v>
      </c>
    </row>
    <row r="143" spans="2:8" x14ac:dyDescent="0.25">
      <c r="B143" s="177" t="s">
        <v>108</v>
      </c>
      <c r="C143" s="178"/>
      <c r="D143" s="179"/>
      <c r="E143" s="196">
        <f>G107</f>
        <v>1611955.1600000001</v>
      </c>
      <c r="F143" s="197"/>
    </row>
    <row r="145" spans="2:6" x14ac:dyDescent="0.25">
      <c r="B145" s="198" t="s">
        <v>109</v>
      </c>
      <c r="C145" s="198"/>
      <c r="D145" s="198"/>
      <c r="E145" s="193"/>
      <c r="F145" s="193"/>
    </row>
    <row r="146" spans="2:6" x14ac:dyDescent="0.25">
      <c r="B146" s="192" t="s">
        <v>110</v>
      </c>
      <c r="C146" s="192"/>
      <c r="D146" s="192"/>
      <c r="E146" s="193"/>
      <c r="F146" s="193"/>
    </row>
    <row r="147" spans="2:6" x14ac:dyDescent="0.25">
      <c r="B147" s="192" t="s">
        <v>111</v>
      </c>
      <c r="C147" s="192"/>
      <c r="D147" s="192"/>
      <c r="E147" s="193"/>
      <c r="F147" s="193"/>
    </row>
    <row r="148" spans="2:6" x14ac:dyDescent="0.25">
      <c r="B148" s="192" t="s">
        <v>112</v>
      </c>
      <c r="C148" s="192"/>
      <c r="D148" s="192"/>
      <c r="E148" s="193"/>
      <c r="F148" s="193"/>
    </row>
    <row r="149" spans="2:6" x14ac:dyDescent="0.25">
      <c r="B149" s="192" t="s">
        <v>113</v>
      </c>
      <c r="C149" s="192"/>
      <c r="D149" s="192"/>
      <c r="E149" s="193"/>
      <c r="F149" s="193"/>
    </row>
    <row r="151" spans="2:6" x14ac:dyDescent="0.25">
      <c r="B151" s="177" t="s">
        <v>114</v>
      </c>
      <c r="C151" s="178"/>
      <c r="D151" s="179"/>
      <c r="E151" s="193"/>
      <c r="F151" s="193"/>
    </row>
    <row r="153" spans="2:6" hidden="1" x14ac:dyDescent="0.25">
      <c r="B153" s="181" t="s">
        <v>123</v>
      </c>
      <c r="C153" s="183"/>
      <c r="D153" s="88" t="s">
        <v>124</v>
      </c>
      <c r="E153" s="176" t="s">
        <v>122</v>
      </c>
      <c r="F153" s="176"/>
    </row>
    <row r="154" spans="2:6" hidden="1" x14ac:dyDescent="0.25">
      <c r="B154" s="181" t="s">
        <v>125</v>
      </c>
      <c r="C154" s="183"/>
      <c r="D154" s="88" t="s">
        <v>126</v>
      </c>
      <c r="E154" s="176" t="s">
        <v>122</v>
      </c>
      <c r="F154" s="176"/>
    </row>
    <row r="155" spans="2:6" ht="30" hidden="1" customHeight="1" x14ac:dyDescent="0.25">
      <c r="B155" s="174" t="s">
        <v>127</v>
      </c>
      <c r="C155" s="175"/>
      <c r="D155" s="88" t="s">
        <v>128</v>
      </c>
      <c r="E155" s="176" t="s">
        <v>122</v>
      </c>
      <c r="F155" s="176"/>
    </row>
    <row r="156" spans="2:6" ht="30" hidden="1" customHeight="1" x14ac:dyDescent="0.25">
      <c r="B156" s="174" t="s">
        <v>129</v>
      </c>
      <c r="C156" s="175"/>
      <c r="D156" s="88" t="s">
        <v>130</v>
      </c>
      <c r="E156" s="176"/>
      <c r="F156" s="176"/>
    </row>
    <row r="157" spans="2:6" ht="30" hidden="1" x14ac:dyDescent="0.25">
      <c r="B157" s="174" t="s">
        <v>131</v>
      </c>
      <c r="C157" s="175"/>
      <c r="D157" s="24" t="s">
        <v>132</v>
      </c>
      <c r="E157" s="176" t="s">
        <v>133</v>
      </c>
      <c r="F157" s="176"/>
    </row>
    <row r="158" spans="2:6" hidden="1" x14ac:dyDescent="0.25">
      <c r="B158" s="181" t="s">
        <v>134</v>
      </c>
      <c r="C158" s="183"/>
      <c r="D158" s="10" t="s">
        <v>135</v>
      </c>
      <c r="E158" s="176"/>
      <c r="F158" s="176"/>
    </row>
    <row r="159" spans="2:6" ht="30" hidden="1" customHeight="1" x14ac:dyDescent="0.25">
      <c r="B159" s="174" t="s">
        <v>136</v>
      </c>
      <c r="C159" s="175"/>
      <c r="D159" s="10" t="s">
        <v>137</v>
      </c>
      <c r="E159" s="176"/>
      <c r="F159" s="176"/>
    </row>
    <row r="160" spans="2:6" ht="30" hidden="1" customHeight="1" x14ac:dyDescent="0.25">
      <c r="B160" s="174" t="s">
        <v>138</v>
      </c>
      <c r="C160" s="175"/>
      <c r="D160" s="88" t="s">
        <v>139</v>
      </c>
      <c r="E160" s="176"/>
      <c r="F160" s="176"/>
    </row>
    <row r="161" spans="2:8" x14ac:dyDescent="0.25">
      <c r="B161" s="177" t="s">
        <v>74</v>
      </c>
      <c r="C161" s="178"/>
      <c r="D161" s="179"/>
      <c r="E161" s="180">
        <v>1520</v>
      </c>
      <c r="F161" s="180"/>
      <c r="G161" s="25"/>
      <c r="H161" s="25"/>
    </row>
    <row r="162" spans="2:8" x14ac:dyDescent="0.25">
      <c r="B162" s="181" t="s">
        <v>75</v>
      </c>
      <c r="C162" s="182"/>
      <c r="D162" s="183"/>
      <c r="E162" s="176"/>
      <c r="F162" s="176"/>
      <c r="G162" s="26"/>
      <c r="H162" s="26"/>
    </row>
    <row r="163" spans="2:8" x14ac:dyDescent="0.25">
      <c r="B163" s="181" t="s">
        <v>76</v>
      </c>
      <c r="C163" s="182"/>
      <c r="D163" s="183"/>
      <c r="E163" s="184">
        <v>320</v>
      </c>
      <c r="F163" s="184"/>
      <c r="G163" s="27"/>
      <c r="H163" s="27"/>
    </row>
    <row r="164" spans="2:8" x14ac:dyDescent="0.25">
      <c r="B164" s="181" t="s">
        <v>77</v>
      </c>
      <c r="C164" s="182"/>
      <c r="D164" s="183"/>
      <c r="E164" s="184"/>
      <c r="F164" s="184"/>
      <c r="G164" s="27"/>
      <c r="H164" s="27"/>
    </row>
    <row r="165" spans="2:8" x14ac:dyDescent="0.25">
      <c r="B165" s="177" t="s">
        <v>78</v>
      </c>
      <c r="C165" s="178"/>
      <c r="D165" s="179"/>
      <c r="E165" s="180"/>
      <c r="F165" s="180"/>
      <c r="G165" s="25"/>
      <c r="H165" s="25"/>
    </row>
    <row r="166" spans="2:8" x14ac:dyDescent="0.25">
      <c r="B166" s="181" t="s">
        <v>79</v>
      </c>
      <c r="C166" s="182"/>
      <c r="D166" s="183"/>
      <c r="E166" s="184"/>
      <c r="F166" s="184"/>
      <c r="G166" s="27"/>
      <c r="H166" s="27"/>
    </row>
    <row r="167" spans="2:8" x14ac:dyDescent="0.25">
      <c r="B167" s="177" t="s">
        <v>80</v>
      </c>
      <c r="C167" s="178"/>
      <c r="D167" s="179"/>
      <c r="E167" s="184"/>
      <c r="F167" s="184"/>
      <c r="G167" s="27"/>
      <c r="H167" s="27"/>
    </row>
    <row r="168" spans="2:8" x14ac:dyDescent="0.25">
      <c r="B168" s="16"/>
      <c r="C168" s="16"/>
      <c r="D168" s="16"/>
      <c r="E168" s="17"/>
      <c r="F168" s="17"/>
      <c r="G168" s="17"/>
      <c r="H168" s="17"/>
    </row>
    <row r="169" spans="2:8" ht="36" customHeight="1" x14ac:dyDescent="0.25">
      <c r="B169" s="185" t="s">
        <v>115</v>
      </c>
      <c r="C169" s="186"/>
      <c r="D169" s="186"/>
      <c r="E169" s="186"/>
      <c r="F169" s="21" t="s">
        <v>116</v>
      </c>
    </row>
    <row r="170" spans="2:8" ht="14.45" customHeight="1" x14ac:dyDescent="0.25">
      <c r="B170" s="187" t="s">
        <v>117</v>
      </c>
      <c r="C170" s="188" t="s">
        <v>118</v>
      </c>
      <c r="D170" s="190" t="s">
        <v>119</v>
      </c>
      <c r="E170" s="191"/>
      <c r="F170" s="4"/>
    </row>
    <row r="171" spans="2:8" x14ac:dyDescent="0.25">
      <c r="B171" s="187"/>
      <c r="C171" s="189"/>
      <c r="D171" s="83" t="s">
        <v>120</v>
      </c>
      <c r="E171" s="83" t="s">
        <v>121</v>
      </c>
      <c r="F171" s="4"/>
    </row>
    <row r="172" spans="2:8" x14ac:dyDescent="0.25">
      <c r="B172" s="115"/>
      <c r="C172" s="124"/>
      <c r="D172" s="115"/>
      <c r="E172" s="115"/>
      <c r="F172" s="4"/>
    </row>
    <row r="173" spans="2:8" x14ac:dyDescent="0.25">
      <c r="B173" s="115"/>
      <c r="C173" s="115"/>
      <c r="D173" s="115"/>
      <c r="E173" s="115"/>
      <c r="F173" s="4"/>
    </row>
    <row r="174" spans="2:8" x14ac:dyDescent="0.25">
      <c r="B174" s="120"/>
      <c r="C174" s="120"/>
      <c r="D174" s="121"/>
      <c r="E174" s="121"/>
      <c r="F174" s="121"/>
    </row>
    <row r="175" spans="2:8" x14ac:dyDescent="0.25">
      <c r="B175" s="120" t="s">
        <v>247</v>
      </c>
      <c r="C175" s="120"/>
      <c r="D175" s="121" t="s">
        <v>248</v>
      </c>
      <c r="E175" s="121"/>
      <c r="F175" s="121"/>
    </row>
  </sheetData>
  <mergeCells count="183">
    <mergeCell ref="B166:D166"/>
    <mergeCell ref="E166:F166"/>
    <mergeCell ref="B167:D167"/>
    <mergeCell ref="E167:F167"/>
    <mergeCell ref="B169:E169"/>
    <mergeCell ref="B170:B171"/>
    <mergeCell ref="C170:C171"/>
    <mergeCell ref="D170:E170"/>
    <mergeCell ref="B163:D163"/>
    <mergeCell ref="E163:F163"/>
    <mergeCell ref="B164:D164"/>
    <mergeCell ref="E164:F164"/>
    <mergeCell ref="B165:D165"/>
    <mergeCell ref="E165:F165"/>
    <mergeCell ref="B160:C160"/>
    <mergeCell ref="E160:F160"/>
    <mergeCell ref="B161:D161"/>
    <mergeCell ref="E161:F161"/>
    <mergeCell ref="B162:D162"/>
    <mergeCell ref="E162:F162"/>
    <mergeCell ref="B157:C157"/>
    <mergeCell ref="E157:F157"/>
    <mergeCell ref="B158:C158"/>
    <mergeCell ref="E158:F158"/>
    <mergeCell ref="B159:C159"/>
    <mergeCell ref="E159:F159"/>
    <mergeCell ref="B154:C154"/>
    <mergeCell ref="E154:F154"/>
    <mergeCell ref="B155:C155"/>
    <mergeCell ref="E155:F155"/>
    <mergeCell ref="B156:C156"/>
    <mergeCell ref="E156:F156"/>
    <mergeCell ref="B149:D149"/>
    <mergeCell ref="E149:F149"/>
    <mergeCell ref="B151:D151"/>
    <mergeCell ref="E151:F151"/>
    <mergeCell ref="B153:C153"/>
    <mergeCell ref="E153:F153"/>
    <mergeCell ref="H110:H111"/>
    <mergeCell ref="B143:D143"/>
    <mergeCell ref="E143:F143"/>
    <mergeCell ref="B145:D145"/>
    <mergeCell ref="E145:F145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B110:B111"/>
    <mergeCell ref="C110:D110"/>
    <mergeCell ref="E110:E111"/>
    <mergeCell ref="F110:F111"/>
    <mergeCell ref="B146:D146"/>
    <mergeCell ref="E146:F146"/>
    <mergeCell ref="B147:D147"/>
    <mergeCell ref="E147:F147"/>
    <mergeCell ref="B148:D148"/>
    <mergeCell ref="E148:F148"/>
    <mergeCell ref="B101:C101"/>
    <mergeCell ref="B102:C102"/>
    <mergeCell ref="B95:G95"/>
    <mergeCell ref="B96:C96"/>
    <mergeCell ref="B103:C103"/>
    <mergeCell ref="B104:C104"/>
    <mergeCell ref="B106:C106"/>
    <mergeCell ref="B107:C107"/>
    <mergeCell ref="B109:F109"/>
    <mergeCell ref="C134:D134"/>
    <mergeCell ref="C135:D135"/>
    <mergeCell ref="C136:D136"/>
    <mergeCell ref="G110:G111"/>
    <mergeCell ref="B92:C92"/>
    <mergeCell ref="B93:C93"/>
    <mergeCell ref="B97:C97"/>
    <mergeCell ref="B98:C98"/>
    <mergeCell ref="B99:C99"/>
    <mergeCell ref="B100:C100"/>
    <mergeCell ref="B89:C89"/>
    <mergeCell ref="B90:C90"/>
    <mergeCell ref="B91:C91"/>
    <mergeCell ref="B50:C50"/>
    <mergeCell ref="B51:C51"/>
    <mergeCell ref="B52:C52"/>
    <mergeCell ref="B53:C53"/>
    <mergeCell ref="B54:C54"/>
    <mergeCell ref="B73:C73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B20:C21"/>
    <mergeCell ref="D20:D21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80:C80"/>
    <mergeCell ref="B81:C81"/>
    <mergeCell ref="B82:C82"/>
    <mergeCell ref="B83:C83"/>
    <mergeCell ref="B84:C84"/>
    <mergeCell ref="B85:C85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3" max="7" man="1"/>
    <brk id="11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9"/>
  <sheetViews>
    <sheetView view="pageBreakPreview" topLeftCell="A17" zoomScale="70" zoomScaleSheetLayoutView="70" workbookViewId="0">
      <selection activeCell="E26" sqref="E26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208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209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5991.8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5932.2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59.6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5991.8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170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127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9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347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106925.25</v>
      </c>
      <c r="E22" s="7">
        <v>106925.25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2392607.5999999996</v>
      </c>
      <c r="E23" s="45">
        <f>E38+D101+C145</f>
        <v>1041786.4299999999</v>
      </c>
      <c r="F23" s="7">
        <f>D102+D103+D104+D105+D106+D107+D108+D109</f>
        <v>133217.24000000002</v>
      </c>
      <c r="G23" s="7">
        <f>F116+F117+F118+F119+F120+F121</f>
        <v>1217603.93</v>
      </c>
      <c r="H23" s="2"/>
    </row>
    <row r="24" spans="1:8" x14ac:dyDescent="0.25">
      <c r="B24" s="223" t="s">
        <v>24</v>
      </c>
      <c r="C24" s="224"/>
      <c r="D24" s="43">
        <f>E24+F24+G24</f>
        <v>2484147.2400000002</v>
      </c>
      <c r="E24" s="45">
        <f>F38+E101+D143+D144</f>
        <v>1078974.6999999997</v>
      </c>
      <c r="F24" s="7">
        <f>E102+E103+E105+E106+E109+E104+E107+E108</f>
        <v>149206.85</v>
      </c>
      <c r="G24" s="7">
        <f>G122</f>
        <v>1255965.6900000002</v>
      </c>
      <c r="H24" s="2"/>
    </row>
    <row r="25" spans="1:8" x14ac:dyDescent="0.25">
      <c r="B25" s="223" t="s">
        <v>25</v>
      </c>
      <c r="C25" s="224"/>
      <c r="D25" s="7">
        <f>E25+F25+G25</f>
        <v>2530387.6100000003</v>
      </c>
      <c r="E25" s="7">
        <f>D145+980716.8</f>
        <v>1125215.07</v>
      </c>
      <c r="F25" s="7">
        <f>F24</f>
        <v>149206.85</v>
      </c>
      <c r="G25" s="7">
        <f>G24</f>
        <v>1255965.6900000002</v>
      </c>
      <c r="H25" s="2"/>
    </row>
    <row r="26" spans="1:8" x14ac:dyDescent="0.25">
      <c r="B26" s="223" t="s">
        <v>253</v>
      </c>
      <c r="C26" s="224"/>
      <c r="D26" s="7">
        <f>E26+F26+G26</f>
        <v>566035.61999999988</v>
      </c>
      <c r="E26" s="45">
        <f>G38+G101+F145</f>
        <v>106921.86999999998</v>
      </c>
      <c r="F26" s="45">
        <f>G110-G101</f>
        <v>33903.800000000003</v>
      </c>
      <c r="G26" s="45">
        <f>H122</f>
        <v>425209.9499999999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109629.24</v>
      </c>
      <c r="F31" s="40">
        <v>113167.02</v>
      </c>
      <c r="G31" s="88">
        <f>18415.12-9669.53</f>
        <v>8745.5899999999983</v>
      </c>
      <c r="H31" s="5"/>
    </row>
    <row r="32" spans="1:8" x14ac:dyDescent="0.25">
      <c r="B32" s="174" t="s">
        <v>34</v>
      </c>
      <c r="C32" s="212"/>
      <c r="D32" s="175"/>
      <c r="E32" s="88">
        <v>145219.38</v>
      </c>
      <c r="F32" s="40">
        <v>150690.65</v>
      </c>
      <c r="G32" s="88">
        <f>24751.01-12576.27</f>
        <v>12174.739999999998</v>
      </c>
      <c r="H32" s="5"/>
    </row>
    <row r="33" spans="2:8" x14ac:dyDescent="0.25">
      <c r="B33" s="174" t="s">
        <v>35</v>
      </c>
      <c r="C33" s="212"/>
      <c r="D33" s="175"/>
      <c r="E33" s="88">
        <v>88271.64</v>
      </c>
      <c r="F33" s="40">
        <v>91616.45</v>
      </c>
      <c r="G33" s="88">
        <f>15228.04-7771.23</f>
        <v>7456.8100000000013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208949.26</v>
      </c>
      <c r="F35" s="40">
        <v>216232.3</v>
      </c>
      <c r="G35" s="88">
        <f>36061.95-18275.31</f>
        <v>17786.639999999996</v>
      </c>
      <c r="H35" s="5"/>
    </row>
    <row r="36" spans="2:8" x14ac:dyDescent="0.25">
      <c r="B36" s="174" t="s">
        <v>38</v>
      </c>
      <c r="C36" s="212"/>
      <c r="D36" s="175"/>
      <c r="E36" s="88">
        <v>147016.72</v>
      </c>
      <c r="F36" s="40">
        <f>147194.74+5670.62</f>
        <v>152865.35999999999</v>
      </c>
      <c r="G36" s="88">
        <f>20915.03+2483.79+4491.25-15338.86</f>
        <v>12551.21</v>
      </c>
      <c r="H36" s="5"/>
    </row>
    <row r="37" spans="2:8" ht="30" customHeight="1" x14ac:dyDescent="0.25">
      <c r="B37" s="174" t="s">
        <v>39</v>
      </c>
      <c r="C37" s="212"/>
      <c r="D37" s="175"/>
      <c r="E37" s="88">
        <f>161621.35</f>
        <v>161621.35</v>
      </c>
      <c r="F37" s="40">
        <f>161271.5+5224.33</f>
        <v>166495.82999999999</v>
      </c>
      <c r="G37" s="88">
        <f>1450.73+20115.88+4398.51-14140.5</f>
        <v>11824.620000000003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860707.59</v>
      </c>
      <c r="F38" s="41">
        <f>SUM(F31:F37)</f>
        <v>891067.60999999987</v>
      </c>
      <c r="G38" s="41">
        <f>SUM(G31:G37)</f>
        <v>70539.609999999986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343120.26</v>
      </c>
      <c r="G44" s="123"/>
      <c r="H44" s="123">
        <f t="shared" ref="H44" si="0">H45+H46+H47</f>
        <v>471489.63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109629.24</v>
      </c>
      <c r="G45" s="112"/>
      <c r="H45" s="105">
        <f>153966-14469.78</f>
        <v>139496.22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145219.38</v>
      </c>
      <c r="G46" s="112"/>
      <c r="H46" s="105">
        <f>244470.7-19356.52</f>
        <v>225114.18000000002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88271.64</v>
      </c>
      <c r="G47" s="112"/>
      <c r="H47" s="105">
        <f>118607.8-11728.57</f>
        <v>106879.23000000001</v>
      </c>
    </row>
    <row r="48" spans="2:8" hidden="1" x14ac:dyDescent="0.25">
      <c r="B48" s="174" t="s">
        <v>36</v>
      </c>
      <c r="C48" s="175"/>
      <c r="D48" s="88"/>
      <c r="E48" s="10"/>
      <c r="F48" s="14"/>
      <c r="G48" s="10"/>
      <c r="H48" s="14"/>
    </row>
    <row r="49" spans="2:8" x14ac:dyDescent="0.25">
      <c r="B49" s="202" t="s">
        <v>65</v>
      </c>
      <c r="C49" s="203"/>
      <c r="D49" s="88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66" t="s">
        <v>266</v>
      </c>
      <c r="E50" s="166"/>
      <c r="F50" s="10"/>
      <c r="G50" s="166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425</v>
      </c>
      <c r="F51" s="151">
        <f>14405.63+535+126</f>
        <v>15066.63</v>
      </c>
      <c r="G51" s="150" t="s">
        <v>425</v>
      </c>
      <c r="H51" s="151">
        <f>14405.63+535+126</f>
        <v>15066.63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3580</v>
      </c>
      <c r="G52" s="166" t="s">
        <v>267</v>
      </c>
      <c r="H52" s="152">
        <v>3965.81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1620+5505.2</f>
        <v>7125.2</v>
      </c>
      <c r="G53" s="166" t="s">
        <v>267</v>
      </c>
      <c r="H53" s="152">
        <f>1366.51+5294.16</f>
        <v>6660.67</v>
      </c>
    </row>
    <row r="54" spans="2:8" x14ac:dyDescent="0.25">
      <c r="B54" s="208" t="s">
        <v>397</v>
      </c>
      <c r="C54" s="209"/>
      <c r="D54" s="150" t="s">
        <v>272</v>
      </c>
      <c r="E54" s="150" t="s">
        <v>495</v>
      </c>
      <c r="F54" s="151">
        <v>883.5</v>
      </c>
      <c r="G54" s="150" t="s">
        <v>495</v>
      </c>
      <c r="H54" s="151">
        <v>883.5</v>
      </c>
    </row>
    <row r="55" spans="2:8" x14ac:dyDescent="0.25">
      <c r="B55" s="208" t="s">
        <v>273</v>
      </c>
      <c r="C55" s="209"/>
      <c r="D55" s="153"/>
      <c r="E55" s="108"/>
      <c r="F55" s="154"/>
      <c r="G55" s="108"/>
      <c r="H55" s="154"/>
    </row>
    <row r="56" spans="2:8" x14ac:dyDescent="0.25">
      <c r="B56" s="239" t="s">
        <v>274</v>
      </c>
      <c r="C56" s="240"/>
      <c r="D56" s="108" t="s">
        <v>272</v>
      </c>
      <c r="E56" s="155"/>
      <c r="F56" s="156"/>
      <c r="G56" s="155"/>
      <c r="H56" s="156"/>
    </row>
    <row r="57" spans="2:8" x14ac:dyDescent="0.25">
      <c r="B57" s="239" t="s">
        <v>276</v>
      </c>
      <c r="C57" s="240"/>
      <c r="D57" s="108" t="s">
        <v>272</v>
      </c>
      <c r="E57" s="108"/>
      <c r="F57" s="156"/>
      <c r="G57" s="155"/>
      <c r="H57" s="156"/>
    </row>
    <row r="58" spans="2:8" x14ac:dyDescent="0.25">
      <c r="B58" s="239" t="s">
        <v>277</v>
      </c>
      <c r="C58" s="240"/>
      <c r="D58" s="108" t="s">
        <v>272</v>
      </c>
      <c r="E58" s="108"/>
      <c r="F58" s="157"/>
      <c r="G58" s="155"/>
      <c r="H58" s="156"/>
    </row>
    <row r="59" spans="2:8" x14ac:dyDescent="0.25">
      <c r="B59" s="239" t="s">
        <v>278</v>
      </c>
      <c r="C59" s="240"/>
      <c r="D59" s="108" t="s">
        <v>272</v>
      </c>
      <c r="E59" s="150"/>
      <c r="F59" s="158"/>
      <c r="G59" s="159"/>
      <c r="H59" s="158"/>
    </row>
    <row r="60" spans="2:8" x14ac:dyDescent="0.25">
      <c r="B60" s="241" t="s">
        <v>279</v>
      </c>
      <c r="C60" s="242"/>
      <c r="D60" s="108" t="s">
        <v>272</v>
      </c>
      <c r="E60" s="150"/>
      <c r="F60" s="160"/>
      <c r="G60" s="159"/>
      <c r="H60" s="158"/>
    </row>
    <row r="61" spans="2:8" x14ac:dyDescent="0.25">
      <c r="B61" s="208" t="s">
        <v>69</v>
      </c>
      <c r="C61" s="209"/>
      <c r="D61" s="108" t="s">
        <v>272</v>
      </c>
      <c r="E61" s="161"/>
      <c r="F61" s="152"/>
      <c r="G61" s="161"/>
      <c r="H61" s="152"/>
    </row>
    <row r="62" spans="2:8" x14ac:dyDescent="0.25">
      <c r="B62" s="208" t="s">
        <v>280</v>
      </c>
      <c r="C62" s="209"/>
      <c r="D62" s="108" t="s">
        <v>272</v>
      </c>
      <c r="E62" s="108"/>
      <c r="F62" s="154"/>
      <c r="G62" s="108"/>
      <c r="H62" s="152"/>
    </row>
    <row r="63" spans="2:8" x14ac:dyDescent="0.25">
      <c r="B63" s="208" t="s">
        <v>281</v>
      </c>
      <c r="C63" s="209"/>
      <c r="D63" s="150"/>
      <c r="E63" s="150"/>
      <c r="F63" s="151"/>
      <c r="G63" s="150"/>
      <c r="H63" s="151"/>
    </row>
    <row r="64" spans="2:8" x14ac:dyDescent="0.25">
      <c r="B64" s="208" t="s">
        <v>282</v>
      </c>
      <c r="C64" s="209"/>
      <c r="D64" s="153"/>
      <c r="E64" s="108"/>
      <c r="F64" s="154"/>
      <c r="G64" s="108"/>
      <c r="H64" s="154"/>
    </row>
    <row r="65" spans="2:8" x14ac:dyDescent="0.25">
      <c r="B65" s="208" t="s">
        <v>496</v>
      </c>
      <c r="C65" s="209"/>
      <c r="D65" s="150" t="s">
        <v>272</v>
      </c>
      <c r="E65" s="150"/>
      <c r="F65" s="151"/>
      <c r="G65" s="108"/>
      <c r="H65" s="151"/>
    </row>
    <row r="66" spans="2:8" ht="36.75" customHeight="1" x14ac:dyDescent="0.25">
      <c r="B66" s="208" t="s">
        <v>497</v>
      </c>
      <c r="C66" s="209"/>
      <c r="D66" s="150"/>
      <c r="E66" s="150"/>
      <c r="F66" s="151"/>
      <c r="G66" s="150"/>
      <c r="H66" s="151">
        <f>6864+435.38</f>
        <v>7299.38</v>
      </c>
    </row>
    <row r="67" spans="2:8" x14ac:dyDescent="0.25">
      <c r="B67" s="243" t="s">
        <v>50</v>
      </c>
      <c r="C67" s="244"/>
      <c r="D67" s="108"/>
      <c r="E67" s="108"/>
      <c r="F67" s="162"/>
      <c r="G67" s="163"/>
      <c r="H67" s="162"/>
    </row>
    <row r="68" spans="2:8" ht="45.75" customHeight="1" x14ac:dyDescent="0.25">
      <c r="B68" s="208" t="s">
        <v>51</v>
      </c>
      <c r="C68" s="209"/>
      <c r="D68" s="153" t="s">
        <v>284</v>
      </c>
      <c r="E68" s="108"/>
      <c r="F68" s="154"/>
      <c r="G68" s="108" t="s">
        <v>271</v>
      </c>
      <c r="H68" s="154"/>
    </row>
    <row r="69" spans="2:8" ht="38.25" customHeight="1" x14ac:dyDescent="0.25">
      <c r="B69" s="208" t="s">
        <v>52</v>
      </c>
      <c r="C69" s="209"/>
      <c r="D69" s="108" t="s">
        <v>285</v>
      </c>
      <c r="E69" s="108"/>
      <c r="F69" s="154"/>
      <c r="G69" s="108" t="s">
        <v>271</v>
      </c>
      <c r="H69" s="154"/>
    </row>
    <row r="70" spans="2:8" ht="39" customHeight="1" x14ac:dyDescent="0.25">
      <c r="B70" s="208" t="s">
        <v>53</v>
      </c>
      <c r="C70" s="209"/>
      <c r="D70" s="108" t="s">
        <v>286</v>
      </c>
      <c r="E70" s="108"/>
      <c r="F70" s="154"/>
      <c r="G70" s="108" t="s">
        <v>271</v>
      </c>
      <c r="H70" s="154"/>
    </row>
    <row r="71" spans="2:8" ht="85.5" customHeight="1" x14ac:dyDescent="0.25">
      <c r="B71" s="208" t="s">
        <v>54</v>
      </c>
      <c r="C71" s="209"/>
      <c r="D71" s="150" t="s">
        <v>266</v>
      </c>
      <c r="E71" s="150" t="s">
        <v>271</v>
      </c>
      <c r="F71" s="151">
        <v>10771.05</v>
      </c>
      <c r="G71" s="150" t="s">
        <v>271</v>
      </c>
      <c r="H71" s="151">
        <v>10376.01</v>
      </c>
    </row>
    <row r="72" spans="2:8" x14ac:dyDescent="0.25">
      <c r="B72" s="208" t="s">
        <v>55</v>
      </c>
      <c r="C72" s="209"/>
      <c r="D72" s="108" t="s">
        <v>266</v>
      </c>
      <c r="E72" s="108" t="s">
        <v>428</v>
      </c>
      <c r="F72" s="152">
        <v>13860</v>
      </c>
      <c r="G72" s="108" t="s">
        <v>314</v>
      </c>
      <c r="H72" s="152">
        <v>7257.4</v>
      </c>
    </row>
    <row r="73" spans="2:8" x14ac:dyDescent="0.25">
      <c r="B73" s="208" t="s">
        <v>56</v>
      </c>
      <c r="C73" s="209"/>
      <c r="D73" s="108" t="s">
        <v>266</v>
      </c>
      <c r="E73" s="108" t="s">
        <v>271</v>
      </c>
      <c r="F73" s="152">
        <v>23533.79</v>
      </c>
      <c r="G73" s="108" t="s">
        <v>271</v>
      </c>
      <c r="H73" s="152">
        <v>23533.79</v>
      </c>
    </row>
    <row r="74" spans="2:8" ht="16.5" customHeight="1" x14ac:dyDescent="0.25">
      <c r="B74" s="208" t="s">
        <v>57</v>
      </c>
      <c r="C74" s="209"/>
      <c r="D74" s="108" t="s">
        <v>266</v>
      </c>
      <c r="E74" s="108"/>
      <c r="F74" s="154"/>
      <c r="G74" s="108" t="s">
        <v>271</v>
      </c>
      <c r="H74" s="154"/>
    </row>
    <row r="75" spans="2:8" x14ac:dyDescent="0.25">
      <c r="B75" s="208" t="s">
        <v>58</v>
      </c>
      <c r="C75" s="209"/>
      <c r="D75" s="108" t="s">
        <v>266</v>
      </c>
      <c r="E75" s="108"/>
      <c r="F75" s="164"/>
      <c r="G75" s="108" t="s">
        <v>271</v>
      </c>
      <c r="H75" s="164"/>
    </row>
    <row r="76" spans="2:8" x14ac:dyDescent="0.25">
      <c r="B76" s="208" t="s">
        <v>282</v>
      </c>
      <c r="C76" s="209"/>
      <c r="D76" s="108"/>
      <c r="E76" s="108"/>
      <c r="F76" s="154"/>
      <c r="G76" s="108"/>
      <c r="H76" s="154"/>
    </row>
    <row r="77" spans="2:8" x14ac:dyDescent="0.25">
      <c r="B77" s="243" t="s">
        <v>59</v>
      </c>
      <c r="C77" s="244"/>
      <c r="D77" s="108"/>
      <c r="E77" s="108"/>
      <c r="F77" s="162"/>
      <c r="G77" s="108"/>
      <c r="H77" s="162"/>
    </row>
    <row r="78" spans="2:8" ht="40.5" customHeight="1" x14ac:dyDescent="0.25">
      <c r="B78" s="208" t="s">
        <v>60</v>
      </c>
      <c r="C78" s="209"/>
      <c r="D78" s="108" t="s">
        <v>272</v>
      </c>
      <c r="E78" s="108"/>
      <c r="F78" s="154"/>
      <c r="G78" s="108" t="s">
        <v>271</v>
      </c>
      <c r="H78" s="154"/>
    </row>
    <row r="79" spans="2:8" ht="37.5" customHeight="1" x14ac:dyDescent="0.25">
      <c r="B79" s="208" t="s">
        <v>61</v>
      </c>
      <c r="C79" s="209"/>
      <c r="D79" s="108" t="s">
        <v>270</v>
      </c>
      <c r="E79" s="108"/>
      <c r="F79" s="154"/>
      <c r="G79" s="108" t="s">
        <v>271</v>
      </c>
      <c r="H79" s="154"/>
    </row>
    <row r="80" spans="2:8" ht="80.25" customHeight="1" x14ac:dyDescent="0.25">
      <c r="B80" s="208" t="s">
        <v>62</v>
      </c>
      <c r="C80" s="209"/>
      <c r="D80" s="150" t="s">
        <v>266</v>
      </c>
      <c r="E80" s="150" t="s">
        <v>271</v>
      </c>
      <c r="F80" s="151">
        <f>11532.64+8138.13+5657.52</f>
        <v>25328.29</v>
      </c>
      <c r="G80" s="150" t="s">
        <v>271</v>
      </c>
      <c r="H80" s="151">
        <f>11641.44+8149.01+5704.31</f>
        <v>25494.760000000002</v>
      </c>
    </row>
    <row r="81" spans="2:11" x14ac:dyDescent="0.25">
      <c r="B81" s="208" t="s">
        <v>290</v>
      </c>
      <c r="C81" s="209"/>
      <c r="D81" s="108" t="s">
        <v>291</v>
      </c>
      <c r="E81" s="161" t="s">
        <v>439</v>
      </c>
      <c r="F81" s="152">
        <f>6070.2+25564+10705.77</f>
        <v>42339.97</v>
      </c>
      <c r="G81" s="108" t="s">
        <v>498</v>
      </c>
      <c r="H81" s="152">
        <f>6070.2+5203.6+3057.8+2084.1+249.7+4363.3</f>
        <v>21028.699999999997</v>
      </c>
    </row>
    <row r="82" spans="2:11" x14ac:dyDescent="0.25">
      <c r="B82" s="208" t="s">
        <v>282</v>
      </c>
      <c r="C82" s="209"/>
      <c r="D82" s="108"/>
      <c r="E82" s="108"/>
      <c r="F82" s="154"/>
      <c r="G82" s="108"/>
      <c r="H82" s="152"/>
    </row>
    <row r="83" spans="2:11" x14ac:dyDescent="0.25">
      <c r="B83" s="243" t="s">
        <v>63</v>
      </c>
      <c r="C83" s="244"/>
      <c r="D83" s="153"/>
      <c r="E83" s="108" t="s">
        <v>271</v>
      </c>
      <c r="F83" s="152">
        <v>21298.75</v>
      </c>
      <c r="G83" s="108" t="s">
        <v>271</v>
      </c>
      <c r="H83" s="152">
        <v>21298.75</v>
      </c>
    </row>
    <row r="84" spans="2:11" x14ac:dyDescent="0.25">
      <c r="B84" s="243" t="s">
        <v>64</v>
      </c>
      <c r="C84" s="244"/>
      <c r="D84" s="108"/>
      <c r="E84" s="108" t="s">
        <v>271</v>
      </c>
      <c r="F84" s="152">
        <v>18060.55</v>
      </c>
      <c r="G84" s="108" t="s">
        <v>271</v>
      </c>
      <c r="H84" s="152">
        <v>17660.87</v>
      </c>
    </row>
    <row r="85" spans="2:11" ht="15.75" customHeight="1" x14ac:dyDescent="0.25">
      <c r="B85" s="243" t="s">
        <v>294</v>
      </c>
      <c r="C85" s="244"/>
      <c r="D85" s="108"/>
      <c r="E85" s="108"/>
      <c r="F85" s="162"/>
      <c r="G85" s="163"/>
      <c r="H85" s="162"/>
    </row>
    <row r="86" spans="2:11" ht="17.25" customHeight="1" x14ac:dyDescent="0.25">
      <c r="B86" s="208" t="s">
        <v>295</v>
      </c>
      <c r="C86" s="209"/>
      <c r="D86" s="153" t="s">
        <v>296</v>
      </c>
      <c r="E86" s="108"/>
      <c r="F86" s="152">
        <v>3481.55</v>
      </c>
      <c r="G86" s="108"/>
      <c r="H86" s="152">
        <v>7810.68</v>
      </c>
    </row>
    <row r="87" spans="2:11" ht="19.5" customHeight="1" x14ac:dyDescent="0.25">
      <c r="B87" s="208" t="s">
        <v>71</v>
      </c>
      <c r="C87" s="209"/>
      <c r="D87" s="153" t="s">
        <v>297</v>
      </c>
      <c r="E87" s="108" t="s">
        <v>298</v>
      </c>
      <c r="F87" s="152">
        <v>2820</v>
      </c>
      <c r="G87" s="108" t="s">
        <v>499</v>
      </c>
      <c r="H87" s="152">
        <v>5367.24</v>
      </c>
    </row>
    <row r="88" spans="2:11" ht="21.75" customHeight="1" x14ac:dyDescent="0.25">
      <c r="B88" s="208" t="s">
        <v>364</v>
      </c>
      <c r="C88" s="209"/>
      <c r="D88" s="153"/>
      <c r="E88" s="108"/>
      <c r="F88" s="152"/>
      <c r="G88" s="108" t="s">
        <v>391</v>
      </c>
      <c r="H88" s="152">
        <v>5600</v>
      </c>
    </row>
    <row r="89" spans="2:11" x14ac:dyDescent="0.25">
      <c r="B89" s="208" t="s">
        <v>72</v>
      </c>
      <c r="C89" s="209"/>
      <c r="D89" s="108" t="s">
        <v>299</v>
      </c>
      <c r="E89" s="108" t="s">
        <v>500</v>
      </c>
      <c r="F89" s="152">
        <v>2557.21</v>
      </c>
      <c r="G89" s="108" t="s">
        <v>500</v>
      </c>
      <c r="H89" s="152">
        <v>2557.21</v>
      </c>
    </row>
    <row r="90" spans="2:11" x14ac:dyDescent="0.25">
      <c r="B90" s="208" t="s">
        <v>301</v>
      </c>
      <c r="C90" s="209"/>
      <c r="D90" s="108" t="s">
        <v>291</v>
      </c>
      <c r="E90" s="108" t="s">
        <v>271</v>
      </c>
      <c r="F90" s="152">
        <v>20116.849999999999</v>
      </c>
      <c r="G90" s="108" t="s">
        <v>271</v>
      </c>
      <c r="H90" s="161">
        <v>20116.849999999999</v>
      </c>
    </row>
    <row r="91" spans="2:11" x14ac:dyDescent="0.25">
      <c r="B91" s="208" t="s">
        <v>282</v>
      </c>
      <c r="C91" s="209"/>
      <c r="D91" s="108"/>
      <c r="E91" s="108"/>
      <c r="F91" s="154"/>
      <c r="G91" s="108"/>
      <c r="H91" s="154"/>
    </row>
    <row r="92" spans="2:11" x14ac:dyDescent="0.25">
      <c r="B92" s="208" t="s">
        <v>501</v>
      </c>
      <c r="C92" s="209"/>
      <c r="D92" s="108"/>
      <c r="E92" s="108"/>
      <c r="F92" s="154"/>
      <c r="G92" s="108" t="s">
        <v>502</v>
      </c>
      <c r="H92" s="152">
        <v>74750</v>
      </c>
      <c r="K92" s="5"/>
    </row>
    <row r="93" spans="2:11" x14ac:dyDescent="0.25">
      <c r="B93" s="208" t="s">
        <v>302</v>
      </c>
      <c r="C93" s="209"/>
      <c r="D93" s="108" t="s">
        <v>291</v>
      </c>
      <c r="E93" s="108" t="s">
        <v>503</v>
      </c>
      <c r="F93" s="152">
        <v>8921.48</v>
      </c>
      <c r="G93" s="108" t="s">
        <v>503</v>
      </c>
      <c r="H93" s="152">
        <v>7339.19</v>
      </c>
    </row>
    <row r="94" spans="2:11" x14ac:dyDescent="0.25">
      <c r="B94" s="208" t="s">
        <v>504</v>
      </c>
      <c r="C94" s="209"/>
      <c r="D94" s="108"/>
      <c r="E94" s="108"/>
      <c r="F94" s="152">
        <v>12000</v>
      </c>
      <c r="G94" s="108"/>
      <c r="H94" s="152">
        <v>12000</v>
      </c>
    </row>
    <row r="95" spans="2:11" ht="17.25" customHeight="1" x14ac:dyDescent="0.25">
      <c r="B95" s="208" t="s">
        <v>311</v>
      </c>
      <c r="C95" s="209"/>
      <c r="D95" s="108"/>
      <c r="E95" s="108" t="s">
        <v>505</v>
      </c>
      <c r="F95" s="152">
        <v>7020</v>
      </c>
      <c r="G95" s="108" t="s">
        <v>505</v>
      </c>
      <c r="H95" s="152">
        <v>7020</v>
      </c>
    </row>
    <row r="96" spans="2:11" ht="30" customHeight="1" x14ac:dyDescent="0.25">
      <c r="B96" s="208" t="s">
        <v>320</v>
      </c>
      <c r="C96" s="209"/>
      <c r="D96" s="108"/>
      <c r="E96" s="108"/>
      <c r="F96" s="152">
        <v>115551.25</v>
      </c>
      <c r="G96" s="108"/>
      <c r="H96" s="152">
        <v>115551.25</v>
      </c>
    </row>
    <row r="97" spans="2:8" ht="17.25" customHeight="1" x14ac:dyDescent="0.25">
      <c r="B97" s="206" t="s">
        <v>73</v>
      </c>
      <c r="C97" s="207"/>
      <c r="D97" s="108"/>
      <c r="E97" s="108"/>
      <c r="F97" s="165">
        <v>926000</v>
      </c>
      <c r="G97" s="165"/>
      <c r="H97" s="165">
        <f>980716.8-72715</f>
        <v>908001.8</v>
      </c>
    </row>
    <row r="98" spans="2:8" x14ac:dyDescent="0.25">
      <c r="B98" s="9"/>
      <c r="C98" s="9"/>
      <c r="D98" s="5"/>
      <c r="E98" s="5"/>
      <c r="F98" s="15"/>
      <c r="G98" s="5"/>
      <c r="H98" s="15"/>
    </row>
    <row r="99" spans="2:8" x14ac:dyDescent="0.25">
      <c r="B99" s="201" t="s">
        <v>177</v>
      </c>
      <c r="C99" s="201"/>
      <c r="D99" s="201"/>
      <c r="E99" s="201"/>
      <c r="F99" s="201"/>
      <c r="G99" s="201"/>
    </row>
    <row r="100" spans="2:8" ht="63" customHeight="1" x14ac:dyDescent="0.25">
      <c r="B100" s="194" t="s">
        <v>29</v>
      </c>
      <c r="C100" s="194"/>
      <c r="D100" s="91" t="s">
        <v>30</v>
      </c>
      <c r="E100" s="91" t="s">
        <v>31</v>
      </c>
      <c r="F100" s="89" t="s">
        <v>82</v>
      </c>
      <c r="G100" s="89" t="s">
        <v>32</v>
      </c>
    </row>
    <row r="101" spans="2:8" x14ac:dyDescent="0.25">
      <c r="B101" s="181" t="s">
        <v>83</v>
      </c>
      <c r="C101" s="183"/>
      <c r="D101" s="88">
        <v>61595.839999999997</v>
      </c>
      <c r="E101" s="88">
        <v>43408.82</v>
      </c>
      <c r="F101" s="88">
        <f>E101</f>
        <v>43408.82</v>
      </c>
      <c r="G101" s="85">
        <f>28448.88-15398.96</f>
        <v>13049.920000000002</v>
      </c>
    </row>
    <row r="102" spans="2:8" x14ac:dyDescent="0.25">
      <c r="B102" s="181" t="s">
        <v>84</v>
      </c>
      <c r="C102" s="183"/>
      <c r="D102" s="88">
        <f>35993.56-212.34+9748.55-58.73+11129.12-62.3+19084.94</f>
        <v>75622.8</v>
      </c>
      <c r="E102" s="88">
        <f>40811.82+9990.06+10499.17+19517.31</f>
        <v>80818.36</v>
      </c>
      <c r="F102" s="98">
        <f t="shared" ref="F102:F109" si="1">E102</f>
        <v>80818.36</v>
      </c>
      <c r="G102" s="85">
        <f>21741.04+5602.54+5226.18-8993.6-2435.84-2780.8+1965.17</f>
        <v>20324.690000000002</v>
      </c>
    </row>
    <row r="103" spans="2:8" ht="30" customHeight="1" x14ac:dyDescent="0.25">
      <c r="B103" s="174" t="s">
        <v>85</v>
      </c>
      <c r="C103" s="175"/>
      <c r="D103" s="88">
        <v>21355.919999999998</v>
      </c>
      <c r="E103" s="88">
        <v>24304.97</v>
      </c>
      <c r="F103" s="98">
        <f t="shared" si="1"/>
        <v>24304.97</v>
      </c>
      <c r="G103" s="85">
        <f>9913.58-5338.98</f>
        <v>4574.6000000000004</v>
      </c>
    </row>
    <row r="104" spans="2:8" ht="30" customHeight="1" x14ac:dyDescent="0.25">
      <c r="B104" s="174" t="s">
        <v>86</v>
      </c>
      <c r="C104" s="175"/>
      <c r="D104" s="88">
        <v>5457.8</v>
      </c>
      <c r="E104" s="88">
        <v>5036.91</v>
      </c>
      <c r="F104" s="98">
        <f t="shared" si="1"/>
        <v>5036.91</v>
      </c>
      <c r="G104" s="85">
        <f>2445.64-1364.45</f>
        <v>1081.1899999999998</v>
      </c>
    </row>
    <row r="105" spans="2:8" x14ac:dyDescent="0.25">
      <c r="B105" s="174" t="s">
        <v>87</v>
      </c>
      <c r="C105" s="175"/>
      <c r="D105" s="88"/>
      <c r="E105" s="88"/>
      <c r="F105" s="98">
        <f t="shared" si="1"/>
        <v>0</v>
      </c>
      <c r="G105" s="85"/>
    </row>
    <row r="106" spans="2:8" x14ac:dyDescent="0.25">
      <c r="B106" s="174" t="s">
        <v>88</v>
      </c>
      <c r="C106" s="175"/>
      <c r="D106" s="88">
        <f>3834.06+0.1</f>
        <v>3834.16</v>
      </c>
      <c r="E106" s="88">
        <v>3275.5</v>
      </c>
      <c r="F106" s="98">
        <f t="shared" si="1"/>
        <v>3275.5</v>
      </c>
      <c r="G106" s="85">
        <f>1612.75-958.54</f>
        <v>654.21</v>
      </c>
    </row>
    <row r="107" spans="2:8" x14ac:dyDescent="0.25">
      <c r="B107" s="174" t="s">
        <v>150</v>
      </c>
      <c r="C107" s="175"/>
      <c r="D107" s="88">
        <v>17780</v>
      </c>
      <c r="E107" s="88">
        <f>19484.8+731.46</f>
        <v>20216.259999999998</v>
      </c>
      <c r="F107" s="98">
        <f t="shared" si="1"/>
        <v>20216.259999999998</v>
      </c>
      <c r="G107" s="85">
        <f>7438.39+655.16-4200</f>
        <v>3893.55</v>
      </c>
    </row>
    <row r="108" spans="2:8" x14ac:dyDescent="0.25">
      <c r="B108" s="174" t="s">
        <v>89</v>
      </c>
      <c r="C108" s="175"/>
      <c r="D108" s="88">
        <v>9166.56</v>
      </c>
      <c r="E108" s="88">
        <v>9561.98</v>
      </c>
      <c r="F108" s="98">
        <f t="shared" si="1"/>
        <v>9561.98</v>
      </c>
      <c r="G108" s="85">
        <f>3847.56-2291.64</f>
        <v>1555.92</v>
      </c>
    </row>
    <row r="109" spans="2:8" ht="30" x14ac:dyDescent="0.25">
      <c r="B109" s="86" t="s">
        <v>81</v>
      </c>
      <c r="C109" s="87"/>
      <c r="D109" s="88"/>
      <c r="E109" s="88">
        <f>156.92+5607.34+141.88+86.73</f>
        <v>5992.87</v>
      </c>
      <c r="F109" s="98">
        <f t="shared" si="1"/>
        <v>5992.87</v>
      </c>
      <c r="G109" s="85">
        <f>732+860.6+138.85+88.19</f>
        <v>1819.6399999999999</v>
      </c>
    </row>
    <row r="110" spans="2:8" ht="18.75" customHeight="1" x14ac:dyDescent="0.25">
      <c r="B110" s="202" t="s">
        <v>90</v>
      </c>
      <c r="C110" s="203"/>
      <c r="D110" s="90">
        <f>SUM(D101:D109)</f>
        <v>194813.08</v>
      </c>
      <c r="E110" s="90">
        <f>SUM(E101:E109)</f>
        <v>192615.67</v>
      </c>
      <c r="F110" s="88">
        <f>E110</f>
        <v>192615.67</v>
      </c>
      <c r="G110" s="90">
        <f>SUM(G101:G109)</f>
        <v>46953.72</v>
      </c>
    </row>
    <row r="111" spans="2:8" x14ac:dyDescent="0.25">
      <c r="B111" s="202" t="s">
        <v>91</v>
      </c>
      <c r="C111" s="203"/>
      <c r="D111" s="96">
        <f>D110+F122+E38+C145</f>
        <v>2392607.6</v>
      </c>
      <c r="E111" s="96">
        <f>E110+G122+F38+D145</f>
        <v>2484147.2399999998</v>
      </c>
      <c r="F111" s="96">
        <f>E111</f>
        <v>2484147.2399999998</v>
      </c>
      <c r="G111" s="96">
        <f>G38+G110+H122+F145</f>
        <v>566035.61999999988</v>
      </c>
    </row>
    <row r="112" spans="2:8" x14ac:dyDescent="0.25">
      <c r="B112" s="16"/>
      <c r="C112" s="16"/>
      <c r="D112" s="16"/>
      <c r="E112" s="17"/>
      <c r="F112" s="17"/>
      <c r="G112" s="17"/>
      <c r="H112" s="17"/>
    </row>
    <row r="113" spans="2:8" x14ac:dyDescent="0.25">
      <c r="B113" s="204" t="s">
        <v>176</v>
      </c>
      <c r="C113" s="201"/>
      <c r="D113" s="201"/>
      <c r="E113" s="201"/>
      <c r="F113" s="201"/>
    </row>
    <row r="114" spans="2:8" ht="38.25" customHeight="1" x14ac:dyDescent="0.25">
      <c r="B114" s="194" t="s">
        <v>29</v>
      </c>
      <c r="C114" s="194" t="s">
        <v>93</v>
      </c>
      <c r="D114" s="194"/>
      <c r="E114" s="205" t="s">
        <v>94</v>
      </c>
      <c r="F114" s="194" t="s">
        <v>30</v>
      </c>
      <c r="G114" s="194" t="s">
        <v>31</v>
      </c>
      <c r="H114" s="195" t="s">
        <v>95</v>
      </c>
    </row>
    <row r="115" spans="2:8" ht="35.25" customHeight="1" x14ac:dyDescent="0.25">
      <c r="B115" s="194"/>
      <c r="C115" s="91" t="s">
        <v>96</v>
      </c>
      <c r="D115" s="19" t="s">
        <v>97</v>
      </c>
      <c r="E115" s="205"/>
      <c r="F115" s="194"/>
      <c r="G115" s="194"/>
      <c r="H115" s="195"/>
    </row>
    <row r="116" spans="2:8" x14ac:dyDescent="0.25">
      <c r="B116" s="10" t="s">
        <v>98</v>
      </c>
      <c r="C116" s="88">
        <v>1400.08</v>
      </c>
      <c r="D116" s="42">
        <v>1439.26</v>
      </c>
      <c r="E116" s="110">
        <v>373.7</v>
      </c>
      <c r="F116" s="88">
        <f>-4170.88+537869.33+2691.01</f>
        <v>536389.46</v>
      </c>
      <c r="G116" s="88">
        <f>1946.61+383780.64</f>
        <v>385727.25</v>
      </c>
      <c r="H116" s="88">
        <f>1208.91+295097.8-204245.69</f>
        <v>92061.01999999996</v>
      </c>
    </row>
    <row r="117" spans="2:8" x14ac:dyDescent="0.25">
      <c r="B117" s="10" t="s">
        <v>147</v>
      </c>
      <c r="C117" s="88">
        <v>22.15</v>
      </c>
      <c r="D117" s="42">
        <v>26.44</v>
      </c>
      <c r="E117" s="110">
        <v>2639</v>
      </c>
      <c r="F117" s="88">
        <f>238790.72+11656.09+18353.29-1378.44-206.19-13389.14</f>
        <v>253826.32999999996</v>
      </c>
      <c r="G117" s="88">
        <f>292364.43+45565.13-94.55+109.32</f>
        <v>337944.33</v>
      </c>
      <c r="H117" s="88">
        <f>179901.09+22522.31-9.09-201.31-62458.33+285.55-9372.6+820.34</f>
        <v>131487.95999999996</v>
      </c>
    </row>
    <row r="118" spans="2:8" x14ac:dyDescent="0.25">
      <c r="B118" s="10" t="s">
        <v>99</v>
      </c>
      <c r="C118" s="88">
        <v>18.43</v>
      </c>
      <c r="D118" s="42">
        <v>19.22</v>
      </c>
      <c r="E118" s="110">
        <v>3969</v>
      </c>
      <c r="F118" s="88">
        <f>14172.42+1328.05+3629.9-305.9+62111.84-1353.78+46732.69-33.25</f>
        <v>126281.97</v>
      </c>
      <c r="G118" s="88">
        <f>17878.94+9224.41+90449.63+48355.91</f>
        <v>165908.89000000001</v>
      </c>
      <c r="H118" s="88">
        <f>8646.27+4559.6+53360.99+25490.97-2108.45-1359.91-1857.93+162.61-14324.65+1557.22-12380.9-31.2</f>
        <v>61714.620000000017</v>
      </c>
    </row>
    <row r="119" spans="2:8" x14ac:dyDescent="0.25">
      <c r="B119" s="10" t="s">
        <v>100</v>
      </c>
      <c r="C119" s="88">
        <v>12.31</v>
      </c>
      <c r="D119" s="42">
        <v>12.84</v>
      </c>
      <c r="E119" s="110">
        <v>6448.32</v>
      </c>
      <c r="F119" s="88">
        <f>72713.98-763.21-262.43</f>
        <v>71688.34</v>
      </c>
      <c r="G119" s="88">
        <f>98873.58-1253.78</f>
        <v>97619.8</v>
      </c>
      <c r="H119" s="88">
        <f>58421.06+38.59-17840.72+1019.61</f>
        <v>41638.539999999994</v>
      </c>
    </row>
    <row r="120" spans="2:8" x14ac:dyDescent="0.25">
      <c r="B120" s="10" t="s">
        <v>101</v>
      </c>
      <c r="C120" s="88" t="s">
        <v>145</v>
      </c>
      <c r="D120" s="42" t="s">
        <v>146</v>
      </c>
      <c r="E120" s="110">
        <v>74798.39</v>
      </c>
      <c r="F120" s="88">
        <f>21283.89+3793.55+190428.98-11844.64</f>
        <v>203661.78000000003</v>
      </c>
      <c r="G120" s="88">
        <f>16451.68+227927.46</f>
        <v>244379.13999999998</v>
      </c>
      <c r="H120" s="88">
        <f>13844.62+139033.46-9156.35-3642.12-47312.77+2532.15</f>
        <v>95298.989999999991</v>
      </c>
    </row>
    <row r="121" spans="2:8" x14ac:dyDescent="0.25">
      <c r="B121" s="10" t="s">
        <v>102</v>
      </c>
      <c r="C121" s="88">
        <v>2.2999999999999998</v>
      </c>
      <c r="D121" s="42">
        <v>2.39</v>
      </c>
      <c r="E121" s="110">
        <v>10490.53</v>
      </c>
      <c r="F121" s="88">
        <f>25004.05+752</f>
        <v>25756.05</v>
      </c>
      <c r="G121" s="88">
        <f>-1327.58+25713.86</f>
        <v>24386.28</v>
      </c>
      <c r="H121" s="88">
        <f>8085.2-6125.61+1049.23</f>
        <v>3008.82</v>
      </c>
    </row>
    <row r="122" spans="2:8" x14ac:dyDescent="0.25">
      <c r="B122" s="11" t="s">
        <v>103</v>
      </c>
      <c r="C122" s="90"/>
      <c r="D122" s="42"/>
      <c r="E122" s="4"/>
      <c r="F122" s="90">
        <f>SUM(F116:F121)</f>
        <v>1217603.93</v>
      </c>
      <c r="G122" s="90">
        <f>SUM(G116:G121)</f>
        <v>1255965.6900000002</v>
      </c>
      <c r="H122" s="90">
        <f>SUM(H116:H121)</f>
        <v>425209.9499999999</v>
      </c>
    </row>
    <row r="123" spans="2:8" x14ac:dyDescent="0.25">
      <c r="B123" s="16"/>
      <c r="C123" s="16"/>
      <c r="D123" s="16"/>
      <c r="E123" s="17"/>
      <c r="F123" s="17"/>
      <c r="G123" s="17"/>
      <c r="H123" s="17"/>
    </row>
    <row r="124" spans="2:8" x14ac:dyDescent="0.25">
      <c r="B124" s="16"/>
      <c r="C124" s="16" t="s">
        <v>244</v>
      </c>
      <c r="D124" s="16"/>
      <c r="E124" s="17"/>
      <c r="F124" s="17"/>
      <c r="G124" s="17"/>
      <c r="H124" s="17"/>
    </row>
    <row r="125" spans="2:8" x14ac:dyDescent="0.25">
      <c r="B125" s="137" t="s">
        <v>228</v>
      </c>
      <c r="C125" s="137" t="s">
        <v>229</v>
      </c>
      <c r="D125" s="137"/>
      <c r="E125" s="131" t="s">
        <v>230</v>
      </c>
      <c r="F125" s="17"/>
      <c r="G125" s="17"/>
      <c r="H125" s="17"/>
    </row>
    <row r="126" spans="2:8" x14ac:dyDescent="0.25">
      <c r="B126" s="133" t="s">
        <v>231</v>
      </c>
      <c r="C126" s="199">
        <v>6</v>
      </c>
      <c r="D126" s="200"/>
      <c r="E126" s="105">
        <v>100</v>
      </c>
      <c r="F126" s="17"/>
      <c r="G126" s="17"/>
      <c r="H126" s="17"/>
    </row>
    <row r="127" spans="2:8" x14ac:dyDescent="0.25">
      <c r="B127" s="133" t="s">
        <v>232</v>
      </c>
      <c r="C127" s="199">
        <v>2</v>
      </c>
      <c r="D127" s="200"/>
      <c r="E127" s="105">
        <v>100</v>
      </c>
      <c r="F127" s="17"/>
      <c r="G127" s="17"/>
      <c r="H127" s="17"/>
    </row>
    <row r="128" spans="2:8" x14ac:dyDescent="0.25">
      <c r="B128" s="133" t="s">
        <v>233</v>
      </c>
      <c r="C128" s="199"/>
      <c r="D128" s="200"/>
      <c r="E128" s="129"/>
      <c r="F128" s="17"/>
      <c r="G128" s="17"/>
      <c r="H128" s="17"/>
    </row>
    <row r="129" spans="2:8" x14ac:dyDescent="0.25">
      <c r="B129" s="133" t="s">
        <v>234</v>
      </c>
      <c r="C129" s="199"/>
      <c r="D129" s="200"/>
      <c r="E129" s="129"/>
      <c r="F129" s="17"/>
      <c r="G129" s="17"/>
      <c r="H129" s="17"/>
    </row>
    <row r="130" spans="2:8" x14ac:dyDescent="0.25">
      <c r="B130" s="133" t="s">
        <v>235</v>
      </c>
      <c r="C130" s="199"/>
      <c r="D130" s="200"/>
      <c r="E130" s="129"/>
      <c r="F130" s="17"/>
      <c r="G130" s="17"/>
      <c r="H130" s="17"/>
    </row>
    <row r="131" spans="2:8" x14ac:dyDescent="0.25">
      <c r="B131" s="133" t="s">
        <v>236</v>
      </c>
      <c r="C131" s="199"/>
      <c r="D131" s="200"/>
      <c r="E131" s="129"/>
      <c r="F131" s="17"/>
      <c r="G131" s="17"/>
      <c r="H131" s="17"/>
    </row>
    <row r="132" spans="2:8" x14ac:dyDescent="0.25">
      <c r="B132" s="133" t="s">
        <v>70</v>
      </c>
      <c r="C132" s="199">
        <v>4</v>
      </c>
      <c r="D132" s="200"/>
      <c r="E132" s="105">
        <v>100</v>
      </c>
      <c r="F132" s="17"/>
      <c r="G132" s="17"/>
      <c r="H132" s="17"/>
    </row>
    <row r="133" spans="2:8" x14ac:dyDescent="0.25">
      <c r="B133" s="133" t="s">
        <v>237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238</v>
      </c>
      <c r="C134" s="199"/>
      <c r="D134" s="200"/>
      <c r="E134" s="105"/>
      <c r="F134" s="17"/>
      <c r="G134" s="17"/>
      <c r="H134" s="17"/>
    </row>
    <row r="135" spans="2:8" x14ac:dyDescent="0.25">
      <c r="B135" s="133" t="s">
        <v>239</v>
      </c>
      <c r="C135" s="199"/>
      <c r="D135" s="200"/>
      <c r="E135" s="105"/>
      <c r="F135" s="17"/>
      <c r="G135" s="17"/>
      <c r="H135" s="17"/>
    </row>
    <row r="136" spans="2:8" x14ac:dyDescent="0.25">
      <c r="B136" s="133" t="s">
        <v>240</v>
      </c>
      <c r="C136" s="199"/>
      <c r="D136" s="200"/>
      <c r="E136" s="105"/>
      <c r="F136" s="17"/>
      <c r="G136" s="17"/>
      <c r="H136" s="17"/>
    </row>
    <row r="137" spans="2:8" x14ac:dyDescent="0.25">
      <c r="B137" s="133" t="s">
        <v>241</v>
      </c>
      <c r="C137" s="199"/>
      <c r="D137" s="200"/>
      <c r="E137" s="105"/>
      <c r="F137" s="17"/>
      <c r="G137" s="17"/>
      <c r="H137" s="17"/>
    </row>
    <row r="138" spans="2:8" x14ac:dyDescent="0.25">
      <c r="B138" s="133" t="s">
        <v>242</v>
      </c>
      <c r="C138" s="199"/>
      <c r="D138" s="200"/>
      <c r="E138" s="105"/>
      <c r="F138" s="17"/>
      <c r="G138" s="17"/>
      <c r="H138" s="17"/>
    </row>
    <row r="139" spans="2:8" x14ac:dyDescent="0.25">
      <c r="B139" s="133" t="s">
        <v>243</v>
      </c>
      <c r="C139" s="199"/>
      <c r="D139" s="200"/>
      <c r="E139" s="105"/>
      <c r="F139" s="17"/>
      <c r="G139" s="17"/>
      <c r="H139" s="17"/>
    </row>
    <row r="140" spans="2:8" x14ac:dyDescent="0.25">
      <c r="B140" s="139" t="s">
        <v>103</v>
      </c>
      <c r="C140" s="245">
        <f>SUM(C126:C139)</f>
        <v>12</v>
      </c>
      <c r="D140" s="246"/>
      <c r="E140" s="123">
        <v>100</v>
      </c>
      <c r="F140" s="9"/>
      <c r="G140" s="9"/>
      <c r="H140" s="17"/>
    </row>
    <row r="141" spans="2:8" x14ac:dyDescent="0.25">
      <c r="B141" s="12"/>
      <c r="C141" s="12"/>
      <c r="D141" s="9"/>
      <c r="E141" s="9"/>
      <c r="F141" s="9"/>
      <c r="G141" s="9"/>
    </row>
    <row r="142" spans="2:8" ht="44.25" customHeight="1" x14ac:dyDescent="0.25">
      <c r="B142" s="33"/>
      <c r="C142" s="90" t="s">
        <v>30</v>
      </c>
      <c r="D142" s="90" t="s">
        <v>31</v>
      </c>
      <c r="E142" s="89" t="s">
        <v>104</v>
      </c>
      <c r="F142" s="89" t="s">
        <v>32</v>
      </c>
    </row>
    <row r="143" spans="2:8" x14ac:dyDescent="0.25">
      <c r="B143" s="32" t="s">
        <v>105</v>
      </c>
      <c r="C143" s="88">
        <f>106983.5+11090.5</f>
        <v>118074</v>
      </c>
      <c r="D143" s="88">
        <f>120010.26</f>
        <v>120010.26</v>
      </c>
      <c r="E143" s="88"/>
      <c r="F143" s="85">
        <f>49074.69+877.17-27015.5</f>
        <v>22936.36</v>
      </c>
    </row>
    <row r="144" spans="2:8" x14ac:dyDescent="0.25">
      <c r="B144" s="32" t="s">
        <v>106</v>
      </c>
      <c r="C144" s="88">
        <f>11010.74-9601.74</f>
        <v>1409</v>
      </c>
      <c r="D144" s="88">
        <f>1451.31+23036.7</f>
        <v>24488.010000000002</v>
      </c>
      <c r="E144" s="98"/>
      <c r="F144" s="85">
        <f>1931.55+984.27-2519.84</f>
        <v>395.97999999999956</v>
      </c>
    </row>
    <row r="145" spans="2:6" ht="28.5" x14ac:dyDescent="0.25">
      <c r="B145" s="33" t="s">
        <v>178</v>
      </c>
      <c r="C145" s="90">
        <f>SUM(C143:C144)</f>
        <v>119483</v>
      </c>
      <c r="D145" s="90">
        <f>SUM(D143:D144)</f>
        <v>144498.26999999999</v>
      </c>
      <c r="E145" s="90"/>
      <c r="F145" s="90">
        <f>SUM(F143:F144)</f>
        <v>23332.34</v>
      </c>
    </row>
    <row r="147" spans="2:6" x14ac:dyDescent="0.25">
      <c r="B147" s="177" t="s">
        <v>108</v>
      </c>
      <c r="C147" s="178"/>
      <c r="D147" s="179"/>
      <c r="E147" s="196">
        <f>G111</f>
        <v>566035.61999999988</v>
      </c>
      <c r="F147" s="197"/>
    </row>
    <row r="149" spans="2:6" x14ac:dyDescent="0.25">
      <c r="B149" s="198" t="s">
        <v>109</v>
      </c>
      <c r="C149" s="198"/>
      <c r="D149" s="198"/>
      <c r="E149" s="193"/>
      <c r="F149" s="193"/>
    </row>
    <row r="150" spans="2:6" x14ac:dyDescent="0.25">
      <c r="B150" s="192" t="s">
        <v>110</v>
      </c>
      <c r="C150" s="192"/>
      <c r="D150" s="192"/>
      <c r="E150" s="193"/>
      <c r="F150" s="193"/>
    </row>
    <row r="151" spans="2:6" x14ac:dyDescent="0.25">
      <c r="B151" s="192" t="s">
        <v>111</v>
      </c>
      <c r="C151" s="192"/>
      <c r="D151" s="192"/>
      <c r="E151" s="193"/>
      <c r="F151" s="193"/>
    </row>
    <row r="152" spans="2:6" x14ac:dyDescent="0.25">
      <c r="B152" s="192" t="s">
        <v>112</v>
      </c>
      <c r="C152" s="192"/>
      <c r="D152" s="192"/>
      <c r="E152" s="193"/>
      <c r="F152" s="193"/>
    </row>
    <row r="153" spans="2:6" x14ac:dyDescent="0.25">
      <c r="B153" s="192" t="s">
        <v>113</v>
      </c>
      <c r="C153" s="192"/>
      <c r="D153" s="192"/>
      <c r="E153" s="193"/>
      <c r="F153" s="193"/>
    </row>
    <row r="155" spans="2:6" x14ac:dyDescent="0.25">
      <c r="B155" s="177" t="s">
        <v>114</v>
      </c>
      <c r="C155" s="178"/>
      <c r="D155" s="179"/>
      <c r="E155" s="193"/>
      <c r="F155" s="193"/>
    </row>
    <row r="157" spans="2:6" hidden="1" x14ac:dyDescent="0.25">
      <c r="B157" s="181" t="s">
        <v>123</v>
      </c>
      <c r="C157" s="183"/>
      <c r="D157" s="88" t="s">
        <v>124</v>
      </c>
      <c r="E157" s="176" t="s">
        <v>122</v>
      </c>
      <c r="F157" s="176"/>
    </row>
    <row r="158" spans="2:6" hidden="1" x14ac:dyDescent="0.25">
      <c r="B158" s="181" t="s">
        <v>125</v>
      </c>
      <c r="C158" s="183"/>
      <c r="D158" s="88" t="s">
        <v>126</v>
      </c>
      <c r="E158" s="176" t="s">
        <v>122</v>
      </c>
      <c r="F158" s="176"/>
    </row>
    <row r="159" spans="2:6" ht="30" hidden="1" customHeight="1" x14ac:dyDescent="0.25">
      <c r="B159" s="174" t="s">
        <v>127</v>
      </c>
      <c r="C159" s="175"/>
      <c r="D159" s="88" t="s">
        <v>128</v>
      </c>
      <c r="E159" s="176" t="s">
        <v>122</v>
      </c>
      <c r="F159" s="176"/>
    </row>
    <row r="160" spans="2:6" ht="30" hidden="1" customHeight="1" x14ac:dyDescent="0.25">
      <c r="B160" s="174" t="s">
        <v>129</v>
      </c>
      <c r="C160" s="175"/>
      <c r="D160" s="88" t="s">
        <v>130</v>
      </c>
      <c r="E160" s="176"/>
      <c r="F160" s="176"/>
    </row>
    <row r="161" spans="2:8" ht="30" hidden="1" x14ac:dyDescent="0.25">
      <c r="B161" s="174" t="s">
        <v>131</v>
      </c>
      <c r="C161" s="175"/>
      <c r="D161" s="24" t="s">
        <v>132</v>
      </c>
      <c r="E161" s="176" t="s">
        <v>133</v>
      </c>
      <c r="F161" s="176"/>
    </row>
    <row r="162" spans="2:8" hidden="1" x14ac:dyDescent="0.25">
      <c r="B162" s="181" t="s">
        <v>134</v>
      </c>
      <c r="C162" s="183"/>
      <c r="D162" s="10" t="s">
        <v>135</v>
      </c>
      <c r="E162" s="176"/>
      <c r="F162" s="176"/>
    </row>
    <row r="163" spans="2:8" ht="30" hidden="1" customHeight="1" x14ac:dyDescent="0.25">
      <c r="B163" s="174" t="s">
        <v>136</v>
      </c>
      <c r="C163" s="175"/>
      <c r="D163" s="10" t="s">
        <v>137</v>
      </c>
      <c r="E163" s="176"/>
      <c r="F163" s="176"/>
    </row>
    <row r="164" spans="2:8" ht="30" hidden="1" customHeight="1" x14ac:dyDescent="0.25">
      <c r="B164" s="174" t="s">
        <v>138</v>
      </c>
      <c r="C164" s="175"/>
      <c r="D164" s="88" t="s">
        <v>139</v>
      </c>
      <c r="E164" s="176"/>
      <c r="F164" s="176"/>
    </row>
    <row r="165" spans="2:8" x14ac:dyDescent="0.25">
      <c r="B165" s="177" t="s">
        <v>74</v>
      </c>
      <c r="C165" s="178"/>
      <c r="D165" s="179"/>
      <c r="E165" s="180">
        <v>1200</v>
      </c>
      <c r="F165" s="180"/>
      <c r="G165" s="25"/>
      <c r="H165" s="25"/>
    </row>
    <row r="166" spans="2:8" x14ac:dyDescent="0.25">
      <c r="B166" s="181" t="s">
        <v>75</v>
      </c>
      <c r="C166" s="182"/>
      <c r="D166" s="183"/>
      <c r="E166" s="176"/>
      <c r="F166" s="176"/>
      <c r="G166" s="26"/>
      <c r="H166" s="26"/>
    </row>
    <row r="167" spans="2:8" x14ac:dyDescent="0.25">
      <c r="B167" s="181" t="s">
        <v>76</v>
      </c>
      <c r="C167" s="182"/>
      <c r="D167" s="183"/>
      <c r="E167" s="184"/>
      <c r="F167" s="184"/>
      <c r="G167" s="27"/>
      <c r="H167" s="27"/>
    </row>
    <row r="168" spans="2:8" x14ac:dyDescent="0.25">
      <c r="B168" s="181" t="s">
        <v>77</v>
      </c>
      <c r="C168" s="182"/>
      <c r="D168" s="183"/>
      <c r="E168" s="184"/>
      <c r="F168" s="184"/>
      <c r="G168" s="27"/>
      <c r="H168" s="27"/>
    </row>
    <row r="169" spans="2:8" x14ac:dyDescent="0.25">
      <c r="B169" s="177" t="s">
        <v>78</v>
      </c>
      <c r="C169" s="178"/>
      <c r="D169" s="179"/>
      <c r="E169" s="180"/>
      <c r="F169" s="180"/>
      <c r="G169" s="25"/>
      <c r="H169" s="25"/>
    </row>
    <row r="170" spans="2:8" x14ac:dyDescent="0.25">
      <c r="B170" s="181" t="s">
        <v>79</v>
      </c>
      <c r="C170" s="182"/>
      <c r="D170" s="183"/>
      <c r="E170" s="184">
        <v>7020</v>
      </c>
      <c r="F170" s="184"/>
      <c r="G170" s="27"/>
      <c r="H170" s="27"/>
    </row>
    <row r="171" spans="2:8" x14ac:dyDescent="0.25">
      <c r="B171" s="177" t="s">
        <v>80</v>
      </c>
      <c r="C171" s="178"/>
      <c r="D171" s="179"/>
      <c r="E171" s="184"/>
      <c r="F171" s="184"/>
      <c r="G171" s="27"/>
      <c r="H171" s="27"/>
    </row>
    <row r="172" spans="2:8" x14ac:dyDescent="0.25">
      <c r="B172" s="16"/>
      <c r="C172" s="16"/>
      <c r="D172" s="16"/>
      <c r="E172" s="17"/>
      <c r="F172" s="17"/>
      <c r="G172" s="17"/>
      <c r="H172" s="17"/>
    </row>
    <row r="173" spans="2:8" ht="36" customHeight="1" x14ac:dyDescent="0.25">
      <c r="B173" s="185" t="s">
        <v>115</v>
      </c>
      <c r="C173" s="186"/>
      <c r="D173" s="186"/>
      <c r="E173" s="186"/>
      <c r="F173" s="21" t="s">
        <v>116</v>
      </c>
    </row>
    <row r="174" spans="2:8" ht="14.45" customHeight="1" x14ac:dyDescent="0.25">
      <c r="B174" s="187" t="s">
        <v>117</v>
      </c>
      <c r="C174" s="188" t="s">
        <v>118</v>
      </c>
      <c r="D174" s="190" t="s">
        <v>119</v>
      </c>
      <c r="E174" s="191"/>
      <c r="F174" s="4"/>
    </row>
    <row r="175" spans="2:8" x14ac:dyDescent="0.25">
      <c r="B175" s="187"/>
      <c r="C175" s="189"/>
      <c r="D175" s="83" t="s">
        <v>120</v>
      </c>
      <c r="E175" s="83" t="s">
        <v>121</v>
      </c>
      <c r="F175" s="4"/>
    </row>
    <row r="176" spans="2:8" x14ac:dyDescent="0.25">
      <c r="B176" s="115"/>
      <c r="C176" s="124"/>
      <c r="D176" s="115"/>
      <c r="E176" s="115"/>
      <c r="F176" s="4"/>
    </row>
    <row r="177" spans="2:6" x14ac:dyDescent="0.25">
      <c r="B177" s="115"/>
      <c r="C177" s="115"/>
      <c r="D177" s="115"/>
      <c r="E177" s="115"/>
      <c r="F177" s="4"/>
    </row>
    <row r="178" spans="2:6" x14ac:dyDescent="0.25">
      <c r="B178" s="120"/>
      <c r="C178" s="120"/>
      <c r="D178" s="121"/>
      <c r="E178" s="121"/>
      <c r="F178" s="121"/>
    </row>
    <row r="179" spans="2:6" x14ac:dyDescent="0.25">
      <c r="B179" s="120" t="s">
        <v>247</v>
      </c>
      <c r="C179" s="120"/>
      <c r="D179" s="121" t="s">
        <v>248</v>
      </c>
      <c r="E179" s="121"/>
      <c r="F179" s="121"/>
    </row>
  </sheetData>
  <mergeCells count="187">
    <mergeCell ref="B170:D170"/>
    <mergeCell ref="E170:F170"/>
    <mergeCell ref="B171:D171"/>
    <mergeCell ref="E171:F171"/>
    <mergeCell ref="B173:E173"/>
    <mergeCell ref="B174:B175"/>
    <mergeCell ref="C174:C175"/>
    <mergeCell ref="D174:E174"/>
    <mergeCell ref="B167:D167"/>
    <mergeCell ref="E167:F167"/>
    <mergeCell ref="B168:D168"/>
    <mergeCell ref="E168:F168"/>
    <mergeCell ref="B169:D169"/>
    <mergeCell ref="E169:F169"/>
    <mergeCell ref="B164:C164"/>
    <mergeCell ref="E164:F164"/>
    <mergeCell ref="B165:D165"/>
    <mergeCell ref="E165:F165"/>
    <mergeCell ref="B166:D166"/>
    <mergeCell ref="E166:F166"/>
    <mergeCell ref="B161:C161"/>
    <mergeCell ref="E161:F161"/>
    <mergeCell ref="B162:C162"/>
    <mergeCell ref="E162:F162"/>
    <mergeCell ref="B163:C163"/>
    <mergeCell ref="E163:F163"/>
    <mergeCell ref="B158:C158"/>
    <mergeCell ref="E158:F158"/>
    <mergeCell ref="B159:C159"/>
    <mergeCell ref="E159:F159"/>
    <mergeCell ref="B160:C160"/>
    <mergeCell ref="E160:F160"/>
    <mergeCell ref="B153:D153"/>
    <mergeCell ref="E153:F153"/>
    <mergeCell ref="B155:D155"/>
    <mergeCell ref="E155:F155"/>
    <mergeCell ref="B157:C157"/>
    <mergeCell ref="E157:F157"/>
    <mergeCell ref="H114:H115"/>
    <mergeCell ref="B147:D147"/>
    <mergeCell ref="E147:F147"/>
    <mergeCell ref="B149:D149"/>
    <mergeCell ref="E149:F149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B150:D150"/>
    <mergeCell ref="E150:F150"/>
    <mergeCell ref="B151:D151"/>
    <mergeCell ref="E151:F151"/>
    <mergeCell ref="C139:D139"/>
    <mergeCell ref="C140:D140"/>
    <mergeCell ref="B152:D152"/>
    <mergeCell ref="E152:F152"/>
    <mergeCell ref="G114:G115"/>
    <mergeCell ref="B107:C107"/>
    <mergeCell ref="B108:C108"/>
    <mergeCell ref="B110:C110"/>
    <mergeCell ref="B111:C111"/>
    <mergeCell ref="B113:F113"/>
    <mergeCell ref="B114:B115"/>
    <mergeCell ref="C114:D114"/>
    <mergeCell ref="E114:E115"/>
    <mergeCell ref="F114:F115"/>
    <mergeCell ref="B97:C97"/>
    <mergeCell ref="B101:C101"/>
    <mergeCell ref="B102:C102"/>
    <mergeCell ref="B103:C103"/>
    <mergeCell ref="B104:C104"/>
    <mergeCell ref="B105:C105"/>
    <mergeCell ref="B106:C106"/>
    <mergeCell ref="B99:G99"/>
    <mergeCell ref="B100:C100"/>
    <mergeCell ref="B50:C50"/>
    <mergeCell ref="B51:C51"/>
    <mergeCell ref="B52:C52"/>
    <mergeCell ref="B53:C53"/>
    <mergeCell ref="B74:C74"/>
    <mergeCell ref="B75:C7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B22:C22"/>
    <mergeCell ref="B23:C23"/>
    <mergeCell ref="B15:D15"/>
    <mergeCell ref="E15:G15"/>
    <mergeCell ref="B16:D16"/>
    <mergeCell ref="E16:G16"/>
    <mergeCell ref="B17:D17"/>
    <mergeCell ref="E17:G17"/>
    <mergeCell ref="B31:D31"/>
    <mergeCell ref="B20:C21"/>
    <mergeCell ref="D20:D21"/>
    <mergeCell ref="E20:G20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72:C72"/>
    <mergeCell ref="B73:C73"/>
    <mergeCell ref="C138:D138"/>
    <mergeCell ref="B76:C76"/>
    <mergeCell ref="B77:C77"/>
    <mergeCell ref="B78:C78"/>
    <mergeCell ref="B79:C79"/>
    <mergeCell ref="B80:C80"/>
    <mergeCell ref="B81:C81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94:C94"/>
    <mergeCell ref="B95:C95"/>
    <mergeCell ref="B96:C96"/>
  </mergeCells>
  <pageMargins left="0.11811023622047245" right="0.11811023622047245" top="0.15748031496062992" bottom="0.15748031496062992" header="0.31496062992125984" footer="0.31496062992125984"/>
  <pageSetup paperSize="9" scale="58" orientation="portrait" r:id="rId1"/>
  <headerFooter alignWithMargins="0"/>
  <rowBreaks count="2" manualBreakCount="2">
    <brk id="73" max="7" man="1"/>
    <brk id="12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6"/>
  <sheetViews>
    <sheetView view="pageBreakPreview" topLeftCell="A11" zoomScale="70" zoomScaleSheetLayoutView="70" workbookViewId="0">
      <selection activeCell="E26" sqref="E26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5.285156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210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211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6079.16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6079.16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/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6079.16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170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128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9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349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94541.51</v>
      </c>
      <c r="E22" s="7">
        <v>94541.51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2345403.7000000002</v>
      </c>
      <c r="E23" s="45">
        <f>E38+D98+C142</f>
        <v>1042518.7</v>
      </c>
      <c r="F23" s="7">
        <f>D99+D100+D101+D102+D103+D104+D105+D106</f>
        <v>126944.79000000001</v>
      </c>
      <c r="G23" s="7">
        <f>F113+F114+F115+F116+F117+F118</f>
        <v>1175940.21</v>
      </c>
      <c r="H23" s="2"/>
    </row>
    <row r="24" spans="1:8" x14ac:dyDescent="0.25">
      <c r="B24" s="223" t="s">
        <v>24</v>
      </c>
      <c r="C24" s="224"/>
      <c r="D24" s="43">
        <f>E24+F24+G24</f>
        <v>2100607.2999999998</v>
      </c>
      <c r="E24" s="45">
        <f>F38+E98+D140+D141</f>
        <v>1003051.3</v>
      </c>
      <c r="F24" s="7">
        <f>E99+E100+E102+E103+E106+E101+E104+E105</f>
        <v>133049.92000000001</v>
      </c>
      <c r="G24" s="7">
        <f>G119</f>
        <v>964506.07999999984</v>
      </c>
      <c r="H24" s="2"/>
    </row>
    <row r="25" spans="1:8" x14ac:dyDescent="0.25">
      <c r="B25" s="223" t="s">
        <v>25</v>
      </c>
      <c r="C25" s="224"/>
      <c r="D25" s="7">
        <f>E25+F25+G25</f>
        <v>2640031.09</v>
      </c>
      <c r="E25" s="7">
        <f>D142+1420411</f>
        <v>1542475.09</v>
      </c>
      <c r="F25" s="7">
        <f>F24</f>
        <v>133049.92000000001</v>
      </c>
      <c r="G25" s="7">
        <f>G24</f>
        <v>964506.07999999984</v>
      </c>
      <c r="H25" s="2"/>
    </row>
    <row r="26" spans="1:8" x14ac:dyDescent="0.25">
      <c r="B26" s="223" t="s">
        <v>250</v>
      </c>
      <c r="C26" s="224"/>
      <c r="D26" s="7">
        <f>E26+F26+G26</f>
        <v>699483.05</v>
      </c>
      <c r="E26" s="45">
        <f>G38+G98+F142</f>
        <v>172194.89</v>
      </c>
      <c r="F26" s="45">
        <f>G107-G98</f>
        <v>39025.42</v>
      </c>
      <c r="G26" s="45">
        <f>H119</f>
        <v>488262.74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112232.78</v>
      </c>
      <c r="F31" s="40">
        <v>108325.25</v>
      </c>
      <c r="G31" s="88">
        <f>23564.27-9909.08+129.01</f>
        <v>13784.2</v>
      </c>
      <c r="H31" s="5"/>
    </row>
    <row r="32" spans="1:8" x14ac:dyDescent="0.25">
      <c r="B32" s="174" t="s">
        <v>34</v>
      </c>
      <c r="C32" s="212"/>
      <c r="D32" s="175"/>
      <c r="E32" s="88">
        <v>148672.45000000001</v>
      </c>
      <c r="F32" s="40">
        <v>145341.31</v>
      </c>
      <c r="G32" s="88">
        <f>31221.31-12887.8+166.92</f>
        <v>18500.43</v>
      </c>
      <c r="H32" s="5"/>
    </row>
    <row r="33" spans="2:8" x14ac:dyDescent="0.25">
      <c r="B33" s="174" t="s">
        <v>35</v>
      </c>
      <c r="C33" s="212"/>
      <c r="D33" s="175"/>
      <c r="E33" s="88">
        <v>90400.62</v>
      </c>
      <c r="F33" s="40">
        <v>88411.97</v>
      </c>
      <c r="G33" s="88">
        <f>19202.5-7963.79+71.52</f>
        <v>11310.23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213245.49</v>
      </c>
      <c r="F35" s="40">
        <v>207920.41</v>
      </c>
      <c r="G35" s="88">
        <f>44852.98-18541.82+166.53</f>
        <v>26477.690000000002</v>
      </c>
      <c r="H35" s="5"/>
    </row>
    <row r="36" spans="2:8" x14ac:dyDescent="0.25">
      <c r="B36" s="174" t="s">
        <v>38</v>
      </c>
      <c r="C36" s="212"/>
      <c r="D36" s="175"/>
      <c r="E36" s="88">
        <v>149914.98000000001</v>
      </c>
      <c r="F36" s="40">
        <f>146088.99+1042.92</f>
        <v>147131.91</v>
      </c>
      <c r="G36" s="88">
        <f>25725.65+4905.61+3742.31-15562.63+139.77</f>
        <v>18950.710000000003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145808.9</v>
      </c>
      <c r="F37" s="40">
        <f>142058.83+587.54</f>
        <v>142646.37</v>
      </c>
      <c r="G37" s="88">
        <f>27848.99+2961.32-12523.05+112.47</f>
        <v>18399.730000000003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860275.22</v>
      </c>
      <c r="F38" s="41">
        <f>SUM(F31:F37)</f>
        <v>839777.22000000009</v>
      </c>
      <c r="G38" s="41">
        <f>SUM(G31:G37)</f>
        <v>107422.99000000002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351305.85</v>
      </c>
      <c r="G44" s="123"/>
      <c r="H44" s="123">
        <f t="shared" ref="H44" si="0">H45+H46+H47</f>
        <v>476233.06000000006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112232.78</v>
      </c>
      <c r="G45" s="112"/>
      <c r="H45" s="105">
        <f>150660-14428.09</f>
        <v>136231.91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148672.45000000001</v>
      </c>
      <c r="G46" s="112"/>
      <c r="H46" s="105">
        <f>272649.2-19672.9</f>
        <v>252976.30000000002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90400.62</v>
      </c>
      <c r="G47" s="112"/>
      <c r="H47" s="105">
        <f>98880-11855.15</f>
        <v>87024.85</v>
      </c>
    </row>
    <row r="48" spans="2:8" hidden="1" x14ac:dyDescent="0.25">
      <c r="B48" s="174" t="s">
        <v>36</v>
      </c>
      <c r="C48" s="175"/>
      <c r="D48" s="88"/>
      <c r="E48" s="10"/>
      <c r="F48" s="105"/>
      <c r="G48" s="112"/>
      <c r="H48" s="105"/>
    </row>
    <row r="49" spans="2:8" x14ac:dyDescent="0.25">
      <c r="B49" s="202" t="s">
        <v>65</v>
      </c>
      <c r="C49" s="203"/>
      <c r="D49" s="88"/>
      <c r="E49" s="10"/>
      <c r="F49" s="113"/>
      <c r="G49" s="112"/>
      <c r="H49" s="113"/>
    </row>
    <row r="50" spans="2:8" ht="30.75" customHeight="1" x14ac:dyDescent="0.25">
      <c r="B50" s="174" t="s">
        <v>66</v>
      </c>
      <c r="C50" s="175"/>
      <c r="D50" s="169" t="s">
        <v>266</v>
      </c>
      <c r="E50" s="169"/>
      <c r="F50" s="10"/>
      <c r="G50" s="16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425</v>
      </c>
      <c r="F51" s="151">
        <f>14615.67</f>
        <v>14615.67</v>
      </c>
      <c r="G51" s="150" t="s">
        <v>425</v>
      </c>
      <c r="H51" s="151">
        <f>14615.67</f>
        <v>14615.67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3056</v>
      </c>
      <c r="G52" s="169" t="s">
        <v>267</v>
      </c>
      <c r="H52" s="152">
        <v>4023.63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1661+5585.47</f>
        <v>7246.47</v>
      </c>
      <c r="G53" s="169" t="s">
        <v>267</v>
      </c>
      <c r="H53" s="152">
        <f>1386.43+5371.35</f>
        <v>6757.7800000000007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ht="16.5" customHeight="1" x14ac:dyDescent="0.25">
      <c r="B55" s="239" t="s">
        <v>506</v>
      </c>
      <c r="C55" s="240"/>
      <c r="D55" s="108" t="s">
        <v>272</v>
      </c>
      <c r="E55" s="155" t="s">
        <v>474</v>
      </c>
      <c r="F55" s="156">
        <v>366165.6</v>
      </c>
      <c r="G55" s="155" t="s">
        <v>474</v>
      </c>
      <c r="H55" s="156">
        <v>366165.6</v>
      </c>
    </row>
    <row r="56" spans="2:8" ht="16.5" customHeight="1" x14ac:dyDescent="0.25">
      <c r="B56" s="239" t="s">
        <v>507</v>
      </c>
      <c r="C56" s="240"/>
      <c r="D56" s="108" t="s">
        <v>272</v>
      </c>
      <c r="E56" s="108" t="s">
        <v>385</v>
      </c>
      <c r="F56" s="156">
        <v>150000</v>
      </c>
      <c r="G56" s="155" t="s">
        <v>385</v>
      </c>
      <c r="H56" s="156">
        <v>145000</v>
      </c>
    </row>
    <row r="57" spans="2:8" ht="16.5" customHeight="1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ht="16.5" customHeight="1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ht="16.5" customHeight="1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ht="16.5" customHeight="1" x14ac:dyDescent="0.25">
      <c r="B60" s="208" t="s">
        <v>69</v>
      </c>
      <c r="C60" s="209"/>
      <c r="D60" s="108" t="s">
        <v>272</v>
      </c>
      <c r="E60" s="161"/>
      <c r="F60" s="152"/>
      <c r="G60" s="161"/>
      <c r="H60" s="152"/>
    </row>
    <row r="61" spans="2:8" ht="16.5" customHeight="1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ht="16.5" customHeight="1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ht="16.5" customHeight="1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ht="16.5" customHeight="1" x14ac:dyDescent="0.25">
      <c r="B64" s="208" t="s">
        <v>479</v>
      </c>
      <c r="C64" s="209"/>
      <c r="D64" s="150" t="s">
        <v>272</v>
      </c>
      <c r="E64" s="108"/>
      <c r="F64" s="154"/>
      <c r="G64" s="108" t="s">
        <v>508</v>
      </c>
      <c r="H64" s="151">
        <v>16000</v>
      </c>
    </row>
    <row r="65" spans="2:8" ht="33.75" customHeight="1" x14ac:dyDescent="0.25">
      <c r="B65" s="208" t="s">
        <v>509</v>
      </c>
      <c r="C65" s="209"/>
      <c r="D65" s="150"/>
      <c r="E65" s="150" t="s">
        <v>410</v>
      </c>
      <c r="F65" s="151">
        <v>1680</v>
      </c>
      <c r="G65" s="150" t="s">
        <v>410</v>
      </c>
      <c r="H65" s="151">
        <f>1680+435.38</f>
        <v>2115.38</v>
      </c>
    </row>
    <row r="66" spans="2:8" ht="16.5" customHeight="1" x14ac:dyDescent="0.25">
      <c r="B66" s="243" t="s">
        <v>50</v>
      </c>
      <c r="C66" s="244"/>
      <c r="D66" s="108"/>
      <c r="E66" s="108"/>
      <c r="F66" s="162"/>
      <c r="G66" s="163"/>
      <c r="H66" s="162"/>
    </row>
    <row r="67" spans="2:8" ht="48.75" customHeight="1" x14ac:dyDescent="0.25">
      <c r="B67" s="208" t="s">
        <v>51</v>
      </c>
      <c r="C67" s="209"/>
      <c r="D67" s="153" t="s">
        <v>284</v>
      </c>
      <c r="E67" s="108"/>
      <c r="F67" s="154"/>
      <c r="G67" s="108" t="s">
        <v>271</v>
      </c>
      <c r="H67" s="154"/>
    </row>
    <row r="68" spans="2:8" ht="38.25" customHeight="1" x14ac:dyDescent="0.25">
      <c r="B68" s="208" t="s">
        <v>52</v>
      </c>
      <c r="C68" s="209"/>
      <c r="D68" s="108" t="s">
        <v>285</v>
      </c>
      <c r="E68" s="108"/>
      <c r="F68" s="154"/>
      <c r="G68" s="108" t="s">
        <v>271</v>
      </c>
      <c r="H68" s="154"/>
    </row>
    <row r="69" spans="2:8" ht="42" customHeight="1" x14ac:dyDescent="0.25">
      <c r="B69" s="208" t="s">
        <v>53</v>
      </c>
      <c r="C69" s="209"/>
      <c r="D69" s="108" t="s">
        <v>286</v>
      </c>
      <c r="E69" s="108"/>
      <c r="F69" s="154"/>
      <c r="G69" s="108" t="s">
        <v>271</v>
      </c>
      <c r="H69" s="154"/>
    </row>
    <row r="70" spans="2:8" ht="81.75" customHeight="1" x14ac:dyDescent="0.25">
      <c r="B70" s="208" t="s">
        <v>54</v>
      </c>
      <c r="C70" s="209"/>
      <c r="D70" s="150" t="s">
        <v>266</v>
      </c>
      <c r="E70" s="150" t="s">
        <v>271</v>
      </c>
      <c r="F70" s="151">
        <v>10928.09</v>
      </c>
      <c r="G70" s="150" t="s">
        <v>271</v>
      </c>
      <c r="H70" s="151">
        <v>10527.29</v>
      </c>
    </row>
    <row r="71" spans="2:8" x14ac:dyDescent="0.25">
      <c r="B71" s="208" t="s">
        <v>55</v>
      </c>
      <c r="C71" s="209"/>
      <c r="D71" s="108" t="s">
        <v>266</v>
      </c>
      <c r="E71" s="108" t="s">
        <v>510</v>
      </c>
      <c r="F71" s="152">
        <v>1536</v>
      </c>
      <c r="G71" s="108" t="s">
        <v>314</v>
      </c>
      <c r="H71" s="152">
        <f>2377+29329.4</f>
        <v>31706.400000000001</v>
      </c>
    </row>
    <row r="72" spans="2:8" x14ac:dyDescent="0.25">
      <c r="B72" s="208" t="s">
        <v>56</v>
      </c>
      <c r="C72" s="209"/>
      <c r="D72" s="108" t="s">
        <v>266</v>
      </c>
      <c r="E72" s="108" t="s">
        <v>271</v>
      </c>
      <c r="F72" s="152">
        <v>23876.91</v>
      </c>
      <c r="G72" s="108" t="s">
        <v>271</v>
      </c>
      <c r="H72" s="152">
        <v>23876.91</v>
      </c>
    </row>
    <row r="73" spans="2:8" x14ac:dyDescent="0.25">
      <c r="B73" s="208" t="s">
        <v>57</v>
      </c>
      <c r="C73" s="209"/>
      <c r="D73" s="108" t="s">
        <v>266</v>
      </c>
      <c r="E73" s="108"/>
      <c r="F73" s="154"/>
      <c r="G73" s="108" t="s">
        <v>271</v>
      </c>
      <c r="H73" s="154"/>
    </row>
    <row r="74" spans="2:8" x14ac:dyDescent="0.25">
      <c r="B74" s="208" t="s">
        <v>58</v>
      </c>
      <c r="C74" s="209"/>
      <c r="D74" s="108" t="s">
        <v>266</v>
      </c>
      <c r="E74" s="108"/>
      <c r="F74" s="164"/>
      <c r="G74" s="108" t="s">
        <v>271</v>
      </c>
      <c r="H74" s="164"/>
    </row>
    <row r="75" spans="2:8" x14ac:dyDescent="0.25">
      <c r="B75" s="208" t="s">
        <v>282</v>
      </c>
      <c r="C75" s="209"/>
      <c r="D75" s="108"/>
      <c r="E75" s="108"/>
      <c r="F75" s="154"/>
      <c r="G75" s="108"/>
      <c r="H75" s="154"/>
    </row>
    <row r="76" spans="2:8" x14ac:dyDescent="0.25">
      <c r="B76" s="243" t="s">
        <v>59</v>
      </c>
      <c r="C76" s="244"/>
      <c r="D76" s="108"/>
      <c r="E76" s="108"/>
      <c r="F76" s="162"/>
      <c r="G76" s="108"/>
      <c r="H76" s="162"/>
    </row>
    <row r="77" spans="2:8" ht="48.75" customHeight="1" x14ac:dyDescent="0.25">
      <c r="B77" s="208" t="s">
        <v>60</v>
      </c>
      <c r="C77" s="209"/>
      <c r="D77" s="108" t="s">
        <v>272</v>
      </c>
      <c r="E77" s="108"/>
      <c r="F77" s="154"/>
      <c r="G77" s="108" t="s">
        <v>271</v>
      </c>
      <c r="H77" s="154"/>
    </row>
    <row r="78" spans="2:8" ht="42.75" customHeight="1" x14ac:dyDescent="0.25">
      <c r="B78" s="208" t="s">
        <v>61</v>
      </c>
      <c r="C78" s="209"/>
      <c r="D78" s="108" t="s">
        <v>270</v>
      </c>
      <c r="E78" s="108"/>
      <c r="F78" s="154"/>
      <c r="G78" s="108" t="s">
        <v>271</v>
      </c>
      <c r="H78" s="154"/>
    </row>
    <row r="79" spans="2:8" ht="76.5" customHeight="1" x14ac:dyDescent="0.25">
      <c r="B79" s="208" t="s">
        <v>62</v>
      </c>
      <c r="C79" s="209"/>
      <c r="D79" s="150" t="s">
        <v>266</v>
      </c>
      <c r="E79" s="150" t="s">
        <v>271</v>
      </c>
      <c r="F79" s="151">
        <f>11700.79+8256.78+5740.01</f>
        <v>25697.58</v>
      </c>
      <c r="G79" s="150" t="s">
        <v>271</v>
      </c>
      <c r="H79" s="151">
        <f>11811.17+8267.82+5787.47</f>
        <v>25866.46</v>
      </c>
    </row>
    <row r="80" spans="2:8" ht="19.5" customHeight="1" x14ac:dyDescent="0.25">
      <c r="B80" s="208" t="s">
        <v>290</v>
      </c>
      <c r="C80" s="209"/>
      <c r="D80" s="108" t="s">
        <v>291</v>
      </c>
      <c r="E80" s="161" t="s">
        <v>334</v>
      </c>
      <c r="F80" s="152">
        <f>17556+10861.86</f>
        <v>28417.86</v>
      </c>
      <c r="G80" s="108" t="s">
        <v>511</v>
      </c>
      <c r="H80" s="152">
        <f>4631.9+366.3+3278.4+12729.6+254.8</f>
        <v>21261</v>
      </c>
    </row>
    <row r="81" spans="2:11" ht="16.5" customHeight="1" x14ac:dyDescent="0.25">
      <c r="B81" s="208" t="s">
        <v>282</v>
      </c>
      <c r="C81" s="209"/>
      <c r="D81" s="108"/>
      <c r="E81" s="108"/>
      <c r="F81" s="154"/>
      <c r="G81" s="108"/>
      <c r="H81" s="152"/>
    </row>
    <row r="82" spans="2:11" ht="24.75" customHeight="1" x14ac:dyDescent="0.25">
      <c r="B82" s="208" t="s">
        <v>381</v>
      </c>
      <c r="C82" s="209"/>
      <c r="D82" s="108"/>
      <c r="E82" s="108"/>
      <c r="F82" s="152">
        <v>22133.33</v>
      </c>
      <c r="G82" s="108"/>
      <c r="H82" s="152">
        <v>22133.33</v>
      </c>
    </row>
    <row r="83" spans="2:11" x14ac:dyDescent="0.25">
      <c r="B83" s="243" t="s">
        <v>63</v>
      </c>
      <c r="C83" s="244"/>
      <c r="D83" s="153"/>
      <c r="E83" s="108" t="s">
        <v>271</v>
      </c>
      <c r="F83" s="152">
        <v>21609.279999999999</v>
      </c>
      <c r="G83" s="108" t="s">
        <v>271</v>
      </c>
      <c r="H83" s="152">
        <v>21609.279999999999</v>
      </c>
    </row>
    <row r="84" spans="2:11" x14ac:dyDescent="0.25">
      <c r="B84" s="243" t="s">
        <v>64</v>
      </c>
      <c r="C84" s="244"/>
      <c r="D84" s="108"/>
      <c r="E84" s="108" t="s">
        <v>271</v>
      </c>
      <c r="F84" s="152">
        <v>18323.88</v>
      </c>
      <c r="G84" s="108" t="s">
        <v>271</v>
      </c>
      <c r="H84" s="152">
        <v>17918.37</v>
      </c>
    </row>
    <row r="85" spans="2:11" x14ac:dyDescent="0.25">
      <c r="B85" s="243" t="s">
        <v>294</v>
      </c>
      <c r="C85" s="244"/>
      <c r="D85" s="108"/>
      <c r="E85" s="108"/>
      <c r="F85" s="162"/>
      <c r="G85" s="163"/>
      <c r="H85" s="162"/>
    </row>
    <row r="86" spans="2:11" x14ac:dyDescent="0.25">
      <c r="B86" s="208" t="s">
        <v>295</v>
      </c>
      <c r="C86" s="209"/>
      <c r="D86" s="153" t="s">
        <v>296</v>
      </c>
      <c r="E86" s="108"/>
      <c r="F86" s="152">
        <v>3532.31</v>
      </c>
      <c r="G86" s="108"/>
      <c r="H86" s="152">
        <v>5809.62</v>
      </c>
      <c r="K86" s="5"/>
    </row>
    <row r="87" spans="2:11" x14ac:dyDescent="0.25">
      <c r="B87" s="208" t="s">
        <v>71</v>
      </c>
      <c r="C87" s="209"/>
      <c r="D87" s="153" t="s">
        <v>297</v>
      </c>
      <c r="E87" s="108" t="s">
        <v>298</v>
      </c>
      <c r="F87" s="152">
        <v>2800</v>
      </c>
      <c r="G87" s="108" t="s">
        <v>298</v>
      </c>
      <c r="H87" s="152">
        <v>2683.62</v>
      </c>
    </row>
    <row r="88" spans="2:11" x14ac:dyDescent="0.25">
      <c r="B88" s="208" t="s">
        <v>72</v>
      </c>
      <c r="C88" s="209"/>
      <c r="D88" s="108" t="s">
        <v>299</v>
      </c>
      <c r="E88" s="108" t="s">
        <v>512</v>
      </c>
      <c r="F88" s="152">
        <v>2594.5</v>
      </c>
      <c r="G88" s="108" t="s">
        <v>512</v>
      </c>
      <c r="H88" s="152">
        <v>2594.5</v>
      </c>
    </row>
    <row r="89" spans="2:11" ht="22.5" customHeight="1" x14ac:dyDescent="0.25">
      <c r="B89" s="208" t="s">
        <v>301</v>
      </c>
      <c r="C89" s="209"/>
      <c r="D89" s="108" t="s">
        <v>291</v>
      </c>
      <c r="E89" s="108" t="s">
        <v>271</v>
      </c>
      <c r="F89" s="152">
        <v>20410.150000000001</v>
      </c>
      <c r="G89" s="108" t="s">
        <v>271</v>
      </c>
      <c r="H89" s="161">
        <v>20410.150000000001</v>
      </c>
    </row>
    <row r="90" spans="2:11" ht="18" customHeight="1" x14ac:dyDescent="0.25">
      <c r="B90" s="208" t="s">
        <v>282</v>
      </c>
      <c r="C90" s="209"/>
      <c r="D90" s="108"/>
      <c r="E90" s="108"/>
      <c r="F90" s="154"/>
      <c r="G90" s="108"/>
      <c r="H90" s="154"/>
    </row>
    <row r="91" spans="2:11" ht="20.25" customHeight="1" x14ac:dyDescent="0.25">
      <c r="B91" s="208" t="s">
        <v>406</v>
      </c>
      <c r="C91" s="209"/>
      <c r="D91" s="108" t="s">
        <v>407</v>
      </c>
      <c r="E91" s="108" t="s">
        <v>513</v>
      </c>
      <c r="F91" s="152">
        <v>42735.99</v>
      </c>
      <c r="G91" s="108" t="s">
        <v>513</v>
      </c>
      <c r="H91" s="152">
        <v>42735.99</v>
      </c>
    </row>
    <row r="92" spans="2:11" x14ac:dyDescent="0.25">
      <c r="B92" s="208" t="s">
        <v>302</v>
      </c>
      <c r="C92" s="209"/>
      <c r="D92" s="108" t="s">
        <v>291</v>
      </c>
      <c r="E92" s="108" t="s">
        <v>514</v>
      </c>
      <c r="F92" s="152">
        <v>9051.5499999999993</v>
      </c>
      <c r="G92" s="108" t="s">
        <v>514</v>
      </c>
      <c r="H92" s="152">
        <v>7446.2</v>
      </c>
    </row>
    <row r="93" spans="2:11" ht="35.25" customHeight="1" x14ac:dyDescent="0.25">
      <c r="B93" s="208" t="s">
        <v>320</v>
      </c>
      <c r="C93" s="209"/>
      <c r="D93" s="108"/>
      <c r="E93" s="108"/>
      <c r="F93" s="152">
        <v>114996.5</v>
      </c>
      <c r="G93" s="108"/>
      <c r="H93" s="152">
        <v>114996.5</v>
      </c>
    </row>
    <row r="94" spans="2:11" x14ac:dyDescent="0.25">
      <c r="B94" s="206" t="s">
        <v>73</v>
      </c>
      <c r="C94" s="207"/>
      <c r="D94" s="108"/>
      <c r="E94" s="108"/>
      <c r="F94" s="165">
        <v>1358000</v>
      </c>
      <c r="G94" s="165"/>
      <c r="H94" s="165">
        <f>1420411-69031.7</f>
        <v>1351379.3</v>
      </c>
    </row>
    <row r="95" spans="2:11" x14ac:dyDescent="0.25">
      <c r="B95" s="9"/>
      <c r="C95" s="9"/>
      <c r="D95" s="5"/>
      <c r="E95" s="5"/>
      <c r="F95" s="15"/>
      <c r="G95" s="5"/>
      <c r="H95" s="15"/>
    </row>
    <row r="96" spans="2:11" x14ac:dyDescent="0.25">
      <c r="B96" s="201" t="s">
        <v>177</v>
      </c>
      <c r="C96" s="201"/>
      <c r="D96" s="201"/>
      <c r="E96" s="201"/>
      <c r="F96" s="201"/>
      <c r="G96" s="201"/>
    </row>
    <row r="97" spans="2:8" ht="63" customHeight="1" x14ac:dyDescent="0.25">
      <c r="B97" s="194" t="s">
        <v>29</v>
      </c>
      <c r="C97" s="194"/>
      <c r="D97" s="91" t="s">
        <v>30</v>
      </c>
      <c r="E97" s="91" t="s">
        <v>31</v>
      </c>
      <c r="F97" s="89" t="s">
        <v>82</v>
      </c>
      <c r="G97" s="89" t="s">
        <v>32</v>
      </c>
    </row>
    <row r="98" spans="2:8" x14ac:dyDescent="0.25">
      <c r="B98" s="181" t="s">
        <v>83</v>
      </c>
      <c r="C98" s="183"/>
      <c r="D98" s="88">
        <v>62356.9</v>
      </c>
      <c r="E98" s="88">
        <v>41209.99</v>
      </c>
      <c r="F98" s="88">
        <f>E98</f>
        <v>41209.99</v>
      </c>
      <c r="G98" s="85">
        <f>37078.56-15623.53+140.31</f>
        <v>21595.34</v>
      </c>
    </row>
    <row r="99" spans="2:8" x14ac:dyDescent="0.25">
      <c r="B99" s="181" t="s">
        <v>84</v>
      </c>
      <c r="C99" s="183"/>
      <c r="D99" s="88">
        <f>37939.02-557.34+10275.46-156.88+11730.66-155.95+20064.34</f>
        <v>79139.31</v>
      </c>
      <c r="E99" s="88">
        <f>37385.01+10217.27+11297.4+19710.08</f>
        <v>78609.760000000009</v>
      </c>
      <c r="F99" s="98">
        <f t="shared" ref="F99:F106" si="1">E99</f>
        <v>78609.760000000009</v>
      </c>
      <c r="G99" s="85">
        <f>21644.8+6274.66+5834.76-9325.75-2525.8-2883.5+2337.08</f>
        <v>21356.25</v>
      </c>
    </row>
    <row r="100" spans="2:8" ht="30" customHeight="1" x14ac:dyDescent="0.25">
      <c r="B100" s="174" t="s">
        <v>85</v>
      </c>
      <c r="C100" s="175"/>
      <c r="D100" s="88">
        <v>21886.080000000002</v>
      </c>
      <c r="E100" s="88">
        <v>22163.8</v>
      </c>
      <c r="F100" s="98">
        <f t="shared" si="1"/>
        <v>22163.8</v>
      </c>
      <c r="G100" s="85">
        <f>13300.84-5471.25</f>
        <v>7829.59</v>
      </c>
    </row>
    <row r="101" spans="2:8" ht="30" customHeight="1" x14ac:dyDescent="0.25">
      <c r="B101" s="174" t="s">
        <v>86</v>
      </c>
      <c r="C101" s="175"/>
      <c r="D101" s="88">
        <f>5593.35-12.57</f>
        <v>5580.7800000000007</v>
      </c>
      <c r="E101" s="88">
        <v>5674.42</v>
      </c>
      <c r="F101" s="98">
        <f t="shared" si="1"/>
        <v>5674.42</v>
      </c>
      <c r="G101" s="85">
        <f>3372.34-1398.27+12.57</f>
        <v>1986.64</v>
      </c>
    </row>
    <row r="102" spans="2:8" x14ac:dyDescent="0.25">
      <c r="B102" s="174" t="s">
        <v>87</v>
      </c>
      <c r="C102" s="175"/>
      <c r="D102" s="88"/>
      <c r="E102" s="88"/>
      <c r="F102" s="98">
        <f t="shared" si="1"/>
        <v>0</v>
      </c>
      <c r="G102" s="85"/>
    </row>
    <row r="103" spans="2:8" x14ac:dyDescent="0.25">
      <c r="B103" s="174" t="s">
        <v>88</v>
      </c>
      <c r="C103" s="175"/>
      <c r="D103" s="88">
        <f>3890.75-8.73</f>
        <v>3882.02</v>
      </c>
      <c r="E103" s="88">
        <v>3929.22</v>
      </c>
      <c r="F103" s="98">
        <f t="shared" si="1"/>
        <v>3929.22</v>
      </c>
      <c r="G103" s="85">
        <f>2343.09-972.64+8.73</f>
        <v>1379.1800000000003</v>
      </c>
    </row>
    <row r="104" spans="2:8" x14ac:dyDescent="0.25">
      <c r="B104" s="174" t="s">
        <v>150</v>
      </c>
      <c r="C104" s="175"/>
      <c r="D104" s="88">
        <v>9240</v>
      </c>
      <c r="E104" s="88">
        <v>9490.7999999999993</v>
      </c>
      <c r="F104" s="98">
        <f t="shared" si="1"/>
        <v>9490.7999999999993</v>
      </c>
      <c r="G104" s="85">
        <f>3865.68-2310</f>
        <v>1555.6799999999998</v>
      </c>
    </row>
    <row r="105" spans="2:8" x14ac:dyDescent="0.25">
      <c r="B105" s="174" t="s">
        <v>89</v>
      </c>
      <c r="C105" s="175"/>
      <c r="D105" s="88">
        <v>7216.6</v>
      </c>
      <c r="E105" s="88">
        <v>7548.18</v>
      </c>
      <c r="F105" s="98">
        <f t="shared" si="1"/>
        <v>7548.18</v>
      </c>
      <c r="G105" s="85">
        <f>3793.43-1804.15</f>
        <v>1989.2799999999997</v>
      </c>
    </row>
    <row r="106" spans="2:8" ht="30" x14ac:dyDescent="0.25">
      <c r="B106" s="86" t="s">
        <v>81</v>
      </c>
      <c r="C106" s="87"/>
      <c r="D106" s="88"/>
      <c r="E106" s="88">
        <f>171.8+5345.62+8.99+107.33</f>
        <v>5633.74</v>
      </c>
      <c r="F106" s="98">
        <f t="shared" si="1"/>
        <v>5633.74</v>
      </c>
      <c r="G106" s="85">
        <f>-196.76+1767.53+98.69+1259.34</f>
        <v>2928.8</v>
      </c>
    </row>
    <row r="107" spans="2:8" ht="18.75" customHeight="1" x14ac:dyDescent="0.25">
      <c r="B107" s="202" t="s">
        <v>90</v>
      </c>
      <c r="C107" s="203"/>
      <c r="D107" s="90">
        <f>SUM(D98:D106)</f>
        <v>189301.68999999997</v>
      </c>
      <c r="E107" s="90">
        <f>SUM(E98:E106)</f>
        <v>174259.90999999997</v>
      </c>
      <c r="F107" s="88">
        <f>E107</f>
        <v>174259.90999999997</v>
      </c>
      <c r="G107" s="90">
        <f>SUM(G98:G106)</f>
        <v>60620.759999999995</v>
      </c>
    </row>
    <row r="108" spans="2:8" x14ac:dyDescent="0.25">
      <c r="B108" s="202" t="s">
        <v>91</v>
      </c>
      <c r="C108" s="203"/>
      <c r="D108" s="96">
        <f>D107+F119+E38+C142</f>
        <v>2345403.7000000002</v>
      </c>
      <c r="E108" s="96">
        <f>E107+G119+F38+D142</f>
        <v>2100607.2999999998</v>
      </c>
      <c r="F108" s="96">
        <f>E108</f>
        <v>2100607.2999999998</v>
      </c>
      <c r="G108" s="96">
        <f>G38+G107+H119+F142</f>
        <v>699483.05</v>
      </c>
    </row>
    <row r="109" spans="2:8" x14ac:dyDescent="0.25">
      <c r="B109" s="16"/>
      <c r="C109" s="16"/>
      <c r="D109" s="16"/>
      <c r="E109" s="17"/>
      <c r="F109" s="17"/>
      <c r="G109" s="17"/>
      <c r="H109" s="17"/>
    </row>
    <row r="110" spans="2:8" x14ac:dyDescent="0.25">
      <c r="B110" s="204" t="s">
        <v>176</v>
      </c>
      <c r="C110" s="201"/>
      <c r="D110" s="201"/>
      <c r="E110" s="201"/>
      <c r="F110" s="201"/>
    </row>
    <row r="111" spans="2:8" ht="38.25" customHeight="1" x14ac:dyDescent="0.25">
      <c r="B111" s="194" t="s">
        <v>29</v>
      </c>
      <c r="C111" s="194" t="s">
        <v>93</v>
      </c>
      <c r="D111" s="194"/>
      <c r="E111" s="205" t="s">
        <v>94</v>
      </c>
      <c r="F111" s="194" t="s">
        <v>30</v>
      </c>
      <c r="G111" s="194" t="s">
        <v>31</v>
      </c>
      <c r="H111" s="195" t="s">
        <v>95</v>
      </c>
    </row>
    <row r="112" spans="2:8" ht="35.25" customHeight="1" x14ac:dyDescent="0.25">
      <c r="B112" s="194"/>
      <c r="C112" s="91" t="s">
        <v>96</v>
      </c>
      <c r="D112" s="19" t="s">
        <v>97</v>
      </c>
      <c r="E112" s="205"/>
      <c r="F112" s="194"/>
      <c r="G112" s="194"/>
      <c r="H112" s="195"/>
    </row>
    <row r="113" spans="2:8" x14ac:dyDescent="0.25">
      <c r="B113" s="10" t="s">
        <v>98</v>
      </c>
      <c r="C113" s="88">
        <v>1400.08</v>
      </c>
      <c r="D113" s="42">
        <v>1439.26</v>
      </c>
      <c r="E113" s="110">
        <v>309.29000000000002</v>
      </c>
      <c r="F113" s="88">
        <f>-8406.9+445116.23+7618.29</f>
        <v>444327.61999999994</v>
      </c>
      <c r="G113" s="88">
        <f>660.21+256657.46</f>
        <v>257317.66999999998</v>
      </c>
      <c r="H113" s="88">
        <f>4433.89+306927.1-181706.15+788.61</f>
        <v>130443.45</v>
      </c>
    </row>
    <row r="114" spans="2:8" x14ac:dyDescent="0.25">
      <c r="B114" s="10" t="s">
        <v>147</v>
      </c>
      <c r="C114" s="88">
        <v>22.15</v>
      </c>
      <c r="D114" s="42">
        <v>26.44</v>
      </c>
      <c r="E114" s="110">
        <v>2043.72</v>
      </c>
      <c r="F114" s="88">
        <f>290116.36-807.2+1.56+0.29+54083.88+315.08</f>
        <v>343709.97</v>
      </c>
      <c r="G114" s="88">
        <f>274424.52+1720.07+309.98+48816.72</f>
        <v>325271.29000000004</v>
      </c>
      <c r="H114" s="88">
        <f>207398.43+4504.83+782.18+37335.51-76354.25+478.49+390.84+73-15009.51+77.09</f>
        <v>159676.60999999996</v>
      </c>
    </row>
    <row r="115" spans="2:8" x14ac:dyDescent="0.25">
      <c r="B115" s="10" t="s">
        <v>99</v>
      </c>
      <c r="C115" s="88">
        <v>18.43</v>
      </c>
      <c r="D115" s="42">
        <v>19.22</v>
      </c>
      <c r="E115" s="110">
        <v>3593</v>
      </c>
      <c r="F115" s="88">
        <f>4393.72-1362.31+64663.78+1602.22-457.77</f>
        <v>68839.64</v>
      </c>
      <c r="G115" s="88">
        <f>5349.8+65336.22+65.18</f>
        <v>70751.199999999997</v>
      </c>
      <c r="H115" s="88">
        <f>12109.32+48018.33+143.01-413.81+1339.6-15519.62-1184.95</f>
        <v>44491.880000000005</v>
      </c>
    </row>
    <row r="116" spans="2:8" x14ac:dyDescent="0.25">
      <c r="B116" s="10" t="s">
        <v>100</v>
      </c>
      <c r="C116" s="88">
        <v>12.31</v>
      </c>
      <c r="D116" s="42">
        <v>12.84</v>
      </c>
      <c r="E116" s="110">
        <v>5446.48</v>
      </c>
      <c r="F116" s="88">
        <f>69463.19+1977.05-966.97</f>
        <v>70473.27</v>
      </c>
      <c r="G116" s="88">
        <f>68094.88+26.9</f>
        <v>68121.78</v>
      </c>
      <c r="H116" s="88">
        <f>52348.96-17657.06-752.86</f>
        <v>33939.039999999994</v>
      </c>
    </row>
    <row r="117" spans="2:8" x14ac:dyDescent="0.25">
      <c r="B117" s="10" t="s">
        <v>101</v>
      </c>
      <c r="C117" s="88" t="s">
        <v>145</v>
      </c>
      <c r="D117" s="42" t="s">
        <v>146</v>
      </c>
      <c r="E117" s="110">
        <v>108860.47</v>
      </c>
      <c r="F117" s="88">
        <f>21880.11+3533.54+205028.89-13201.2</f>
        <v>217241.34</v>
      </c>
      <c r="G117" s="88">
        <f>15599.3+197403.15</f>
        <v>213002.44999999998</v>
      </c>
      <c r="H117" s="88">
        <f>35522.64+127834.92-10371.11-3539.76-50511.74+6990.78</f>
        <v>105925.73000000001</v>
      </c>
    </row>
    <row r="118" spans="2:8" x14ac:dyDescent="0.25">
      <c r="B118" s="10" t="s">
        <v>102</v>
      </c>
      <c r="C118" s="88">
        <v>2.2999999999999998</v>
      </c>
      <c r="D118" s="42">
        <v>2.39</v>
      </c>
      <c r="E118" s="110">
        <v>18016.53</v>
      </c>
      <c r="F118" s="88">
        <f>31891.86-543.49</f>
        <v>31348.37</v>
      </c>
      <c r="G118" s="88">
        <v>30041.69</v>
      </c>
      <c r="H118" s="88">
        <f>22836.47-8915.88-134.56</f>
        <v>13786.030000000002</v>
      </c>
    </row>
    <row r="119" spans="2:8" x14ac:dyDescent="0.25">
      <c r="B119" s="11" t="s">
        <v>103</v>
      </c>
      <c r="C119" s="90"/>
      <c r="D119" s="42"/>
      <c r="E119" s="4"/>
      <c r="F119" s="90">
        <f>SUM(F113:F118)</f>
        <v>1175940.21</v>
      </c>
      <c r="G119" s="90">
        <f>SUM(G113:G118)</f>
        <v>964506.07999999984</v>
      </c>
      <c r="H119" s="90">
        <f>SUM(H113:H118)</f>
        <v>488262.74</v>
      </c>
    </row>
    <row r="120" spans="2:8" x14ac:dyDescent="0.25">
      <c r="B120" s="16"/>
      <c r="C120" s="16"/>
      <c r="D120" s="16"/>
      <c r="E120" s="17"/>
      <c r="F120" s="17"/>
      <c r="G120" s="17"/>
      <c r="H120" s="17"/>
    </row>
    <row r="121" spans="2:8" x14ac:dyDescent="0.25">
      <c r="B121" s="16"/>
      <c r="C121" s="16" t="s">
        <v>244</v>
      </c>
      <c r="D121" s="16"/>
      <c r="E121" s="17"/>
      <c r="F121" s="17"/>
      <c r="G121" s="17"/>
      <c r="H121" s="17"/>
    </row>
    <row r="122" spans="2:8" x14ac:dyDescent="0.25">
      <c r="B122" s="137" t="s">
        <v>228</v>
      </c>
      <c r="C122" s="137" t="s">
        <v>229</v>
      </c>
      <c r="D122" s="137"/>
      <c r="E122" s="131" t="s">
        <v>230</v>
      </c>
      <c r="F122" s="17"/>
      <c r="G122" s="17"/>
      <c r="H122" s="17"/>
    </row>
    <row r="123" spans="2:8" x14ac:dyDescent="0.25">
      <c r="B123" s="133" t="s">
        <v>231</v>
      </c>
      <c r="C123" s="199">
        <v>13</v>
      </c>
      <c r="D123" s="200"/>
      <c r="E123" s="105">
        <v>100</v>
      </c>
      <c r="F123" s="17"/>
      <c r="G123" s="17"/>
      <c r="H123" s="17"/>
    </row>
    <row r="124" spans="2:8" x14ac:dyDescent="0.25">
      <c r="B124" s="133" t="s">
        <v>232</v>
      </c>
      <c r="C124" s="199">
        <v>8</v>
      </c>
      <c r="D124" s="200"/>
      <c r="E124" s="105">
        <v>100</v>
      </c>
      <c r="F124" s="17"/>
      <c r="G124" s="17"/>
      <c r="H124" s="17"/>
    </row>
    <row r="125" spans="2:8" x14ac:dyDescent="0.25">
      <c r="B125" s="133" t="s">
        <v>233</v>
      </c>
      <c r="C125" s="199"/>
      <c r="D125" s="200"/>
      <c r="E125" s="105"/>
      <c r="F125" s="17"/>
      <c r="G125" s="17"/>
      <c r="H125" s="17"/>
    </row>
    <row r="126" spans="2:8" x14ac:dyDescent="0.25">
      <c r="B126" s="133" t="s">
        <v>234</v>
      </c>
      <c r="C126" s="199">
        <v>1</v>
      </c>
      <c r="D126" s="200"/>
      <c r="E126" s="105">
        <v>100</v>
      </c>
      <c r="F126" s="17"/>
      <c r="G126" s="17"/>
      <c r="H126" s="17"/>
    </row>
    <row r="127" spans="2:8" x14ac:dyDescent="0.25">
      <c r="B127" s="133" t="s">
        <v>235</v>
      </c>
      <c r="C127" s="199"/>
      <c r="D127" s="200"/>
      <c r="E127" s="105"/>
      <c r="F127" s="17"/>
      <c r="G127" s="17"/>
      <c r="H127" s="17"/>
    </row>
    <row r="128" spans="2:8" x14ac:dyDescent="0.25">
      <c r="B128" s="133" t="s">
        <v>236</v>
      </c>
      <c r="C128" s="199"/>
      <c r="D128" s="200"/>
      <c r="E128" s="105"/>
      <c r="F128" s="17"/>
      <c r="G128" s="17"/>
      <c r="H128" s="17"/>
    </row>
    <row r="129" spans="2:8" x14ac:dyDescent="0.25">
      <c r="B129" s="133" t="s">
        <v>70</v>
      </c>
      <c r="C129" s="199">
        <v>3</v>
      </c>
      <c r="D129" s="200"/>
      <c r="E129" s="105">
        <v>100</v>
      </c>
      <c r="F129" s="17"/>
      <c r="G129" s="17"/>
      <c r="H129" s="17"/>
    </row>
    <row r="130" spans="2:8" x14ac:dyDescent="0.25">
      <c r="B130" s="133" t="s">
        <v>237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238</v>
      </c>
      <c r="C131" s="199">
        <v>7</v>
      </c>
      <c r="D131" s="200"/>
      <c r="E131" s="105">
        <v>100</v>
      </c>
      <c r="F131" s="17"/>
      <c r="G131" s="17"/>
      <c r="H131" s="17"/>
    </row>
    <row r="132" spans="2:8" x14ac:dyDescent="0.25">
      <c r="B132" s="133" t="s">
        <v>239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240</v>
      </c>
      <c r="C133" s="199"/>
      <c r="D133" s="200"/>
      <c r="E133" s="129"/>
      <c r="F133" s="17"/>
      <c r="G133" s="17"/>
      <c r="H133" s="17"/>
    </row>
    <row r="134" spans="2:8" x14ac:dyDescent="0.25">
      <c r="B134" s="133" t="s">
        <v>241</v>
      </c>
      <c r="C134" s="199"/>
      <c r="D134" s="200"/>
      <c r="E134" s="129"/>
      <c r="F134" s="17"/>
      <c r="G134" s="17"/>
      <c r="H134" s="17"/>
    </row>
    <row r="135" spans="2:8" x14ac:dyDescent="0.25">
      <c r="B135" s="133" t="s">
        <v>242</v>
      </c>
      <c r="C135" s="199"/>
      <c r="D135" s="200"/>
      <c r="E135" s="129"/>
      <c r="F135" s="17"/>
      <c r="G135" s="17"/>
      <c r="H135" s="17"/>
    </row>
    <row r="136" spans="2:8" x14ac:dyDescent="0.25">
      <c r="B136" s="133" t="s">
        <v>243</v>
      </c>
      <c r="C136" s="199"/>
      <c r="D136" s="200"/>
      <c r="E136" s="129"/>
      <c r="F136" s="17"/>
      <c r="G136" s="17"/>
      <c r="H136" s="17"/>
    </row>
    <row r="137" spans="2:8" x14ac:dyDescent="0.25">
      <c r="B137" s="139" t="s">
        <v>103</v>
      </c>
      <c r="C137" s="245">
        <f>SUM(C123:C136)</f>
        <v>32</v>
      </c>
      <c r="D137" s="246"/>
      <c r="E137" s="145">
        <v>100</v>
      </c>
      <c r="F137" s="9"/>
      <c r="G137" s="9"/>
      <c r="H137" s="17"/>
    </row>
    <row r="138" spans="2:8" x14ac:dyDescent="0.25">
      <c r="B138" s="12"/>
      <c r="C138" s="12"/>
      <c r="D138" s="9"/>
      <c r="E138" s="9"/>
      <c r="F138" s="9"/>
      <c r="G138" s="9"/>
    </row>
    <row r="139" spans="2:8" ht="44.25" customHeight="1" x14ac:dyDescent="0.25">
      <c r="B139" s="33"/>
      <c r="C139" s="90" t="s">
        <v>30</v>
      </c>
      <c r="D139" s="90" t="s">
        <v>31</v>
      </c>
      <c r="E139" s="89" t="s">
        <v>104</v>
      </c>
      <c r="F139" s="89" t="s">
        <v>32</v>
      </c>
    </row>
    <row r="140" spans="2:8" x14ac:dyDescent="0.25">
      <c r="B140" s="32" t="s">
        <v>105</v>
      </c>
      <c r="C140" s="88">
        <f>112014.2-128.5</f>
        <v>111885.7</v>
      </c>
      <c r="D140" s="88">
        <f>116489.87+24.7+31.15</f>
        <v>116545.71999999999</v>
      </c>
      <c r="E140" s="88"/>
      <c r="F140" s="85">
        <f>55704.08+47.25+59.58-28160.8+273</f>
        <v>27923.110000000004</v>
      </c>
    </row>
    <row r="141" spans="2:8" x14ac:dyDescent="0.25">
      <c r="B141" s="32" t="s">
        <v>106</v>
      </c>
      <c r="C141" s="88">
        <f>8121.39-120.51</f>
        <v>8000.88</v>
      </c>
      <c r="D141" s="88">
        <v>5518.37</v>
      </c>
      <c r="E141" s="98"/>
      <c r="F141" s="85">
        <f>107.06+17044.34-1897.95</f>
        <v>15253.45</v>
      </c>
    </row>
    <row r="142" spans="2:8" ht="28.5" x14ac:dyDescent="0.25">
      <c r="B142" s="33" t="s">
        <v>178</v>
      </c>
      <c r="C142" s="90">
        <f>SUM(C140:C141)</f>
        <v>119886.58</v>
      </c>
      <c r="D142" s="90">
        <f>SUM(D140:D141)</f>
        <v>122064.08999999998</v>
      </c>
      <c r="E142" s="90"/>
      <c r="F142" s="90">
        <f>SUM(F140:F141)</f>
        <v>43176.560000000005</v>
      </c>
    </row>
    <row r="144" spans="2:8" x14ac:dyDescent="0.25">
      <c r="B144" s="177" t="s">
        <v>108</v>
      </c>
      <c r="C144" s="178"/>
      <c r="D144" s="179"/>
      <c r="E144" s="196">
        <f>G108</f>
        <v>699483.05</v>
      </c>
      <c r="F144" s="197"/>
    </row>
    <row r="146" spans="2:6" x14ac:dyDescent="0.25">
      <c r="B146" s="198" t="s">
        <v>109</v>
      </c>
      <c r="C146" s="198"/>
      <c r="D146" s="198"/>
      <c r="E146" s="193"/>
      <c r="F146" s="193"/>
    </row>
    <row r="147" spans="2:6" x14ac:dyDescent="0.25">
      <c r="B147" s="192" t="s">
        <v>110</v>
      </c>
      <c r="C147" s="192"/>
      <c r="D147" s="192"/>
      <c r="E147" s="193"/>
      <c r="F147" s="193"/>
    </row>
    <row r="148" spans="2:6" x14ac:dyDescent="0.25">
      <c r="B148" s="192" t="s">
        <v>111</v>
      </c>
      <c r="C148" s="192"/>
      <c r="D148" s="192"/>
      <c r="E148" s="193"/>
      <c r="F148" s="193"/>
    </row>
    <row r="149" spans="2:6" x14ac:dyDescent="0.25">
      <c r="B149" s="192" t="s">
        <v>112</v>
      </c>
      <c r="C149" s="192"/>
      <c r="D149" s="192"/>
      <c r="E149" s="193"/>
      <c r="F149" s="193"/>
    </row>
    <row r="150" spans="2:6" x14ac:dyDescent="0.25">
      <c r="B150" s="192" t="s">
        <v>113</v>
      </c>
      <c r="C150" s="192"/>
      <c r="D150" s="192"/>
      <c r="E150" s="193"/>
      <c r="F150" s="193"/>
    </row>
    <row r="152" spans="2:6" x14ac:dyDescent="0.25">
      <c r="B152" s="177" t="s">
        <v>114</v>
      </c>
      <c r="C152" s="178"/>
      <c r="D152" s="179"/>
      <c r="E152" s="193"/>
      <c r="F152" s="193"/>
    </row>
    <row r="154" spans="2:6" hidden="1" x14ac:dyDescent="0.25">
      <c r="B154" s="181" t="s">
        <v>123</v>
      </c>
      <c r="C154" s="183"/>
      <c r="D154" s="88" t="s">
        <v>124</v>
      </c>
      <c r="E154" s="176" t="s">
        <v>122</v>
      </c>
      <c r="F154" s="176"/>
    </row>
    <row r="155" spans="2:6" hidden="1" x14ac:dyDescent="0.25">
      <c r="B155" s="181" t="s">
        <v>125</v>
      </c>
      <c r="C155" s="183"/>
      <c r="D155" s="88" t="s">
        <v>126</v>
      </c>
      <c r="E155" s="176" t="s">
        <v>122</v>
      </c>
      <c r="F155" s="176"/>
    </row>
    <row r="156" spans="2:6" ht="30" hidden="1" customHeight="1" x14ac:dyDescent="0.25">
      <c r="B156" s="174" t="s">
        <v>127</v>
      </c>
      <c r="C156" s="175"/>
      <c r="D156" s="88" t="s">
        <v>128</v>
      </c>
      <c r="E156" s="176" t="s">
        <v>122</v>
      </c>
      <c r="F156" s="176"/>
    </row>
    <row r="157" spans="2:6" ht="30" hidden="1" customHeight="1" x14ac:dyDescent="0.25">
      <c r="B157" s="174" t="s">
        <v>129</v>
      </c>
      <c r="C157" s="175"/>
      <c r="D157" s="88" t="s">
        <v>130</v>
      </c>
      <c r="E157" s="176"/>
      <c r="F157" s="176"/>
    </row>
    <row r="158" spans="2:6" ht="30" hidden="1" x14ac:dyDescent="0.25">
      <c r="B158" s="174" t="s">
        <v>131</v>
      </c>
      <c r="C158" s="175"/>
      <c r="D158" s="24" t="s">
        <v>132</v>
      </c>
      <c r="E158" s="176" t="s">
        <v>133</v>
      </c>
      <c r="F158" s="176"/>
    </row>
    <row r="159" spans="2:6" hidden="1" x14ac:dyDescent="0.25">
      <c r="B159" s="181" t="s">
        <v>134</v>
      </c>
      <c r="C159" s="183"/>
      <c r="D159" s="10" t="s">
        <v>135</v>
      </c>
      <c r="E159" s="176"/>
      <c r="F159" s="176"/>
    </row>
    <row r="160" spans="2:6" ht="30" hidden="1" customHeight="1" x14ac:dyDescent="0.25">
      <c r="B160" s="174" t="s">
        <v>136</v>
      </c>
      <c r="C160" s="175"/>
      <c r="D160" s="10" t="s">
        <v>137</v>
      </c>
      <c r="E160" s="176"/>
      <c r="F160" s="176"/>
    </row>
    <row r="161" spans="2:8" ht="30" hidden="1" customHeight="1" x14ac:dyDescent="0.25">
      <c r="B161" s="174" t="s">
        <v>138</v>
      </c>
      <c r="C161" s="175"/>
      <c r="D161" s="88" t="s">
        <v>139</v>
      </c>
      <c r="E161" s="176"/>
      <c r="F161" s="176"/>
    </row>
    <row r="162" spans="2:8" x14ac:dyDescent="0.25">
      <c r="B162" s="177" t="s">
        <v>74</v>
      </c>
      <c r="C162" s="178"/>
      <c r="D162" s="179"/>
      <c r="E162" s="180">
        <v>1200</v>
      </c>
      <c r="F162" s="180"/>
      <c r="G162" s="25"/>
      <c r="H162" s="25"/>
    </row>
    <row r="163" spans="2:8" x14ac:dyDescent="0.25">
      <c r="B163" s="181" t="s">
        <v>75</v>
      </c>
      <c r="C163" s="182"/>
      <c r="D163" s="183"/>
      <c r="E163" s="176"/>
      <c r="F163" s="176"/>
      <c r="G163" s="26"/>
      <c r="H163" s="26"/>
    </row>
    <row r="164" spans="2:8" x14ac:dyDescent="0.25">
      <c r="B164" s="181" t="s">
        <v>76</v>
      </c>
      <c r="C164" s="182"/>
      <c r="D164" s="183"/>
      <c r="E164" s="184"/>
      <c r="F164" s="184"/>
      <c r="G164" s="27"/>
      <c r="H164" s="27"/>
    </row>
    <row r="165" spans="2:8" x14ac:dyDescent="0.25">
      <c r="B165" s="181" t="s">
        <v>77</v>
      </c>
      <c r="C165" s="182"/>
      <c r="D165" s="183"/>
      <c r="E165" s="184"/>
      <c r="F165" s="184"/>
      <c r="G165" s="27"/>
      <c r="H165" s="27"/>
    </row>
    <row r="166" spans="2:8" x14ac:dyDescent="0.25">
      <c r="B166" s="177" t="s">
        <v>78</v>
      </c>
      <c r="C166" s="178"/>
      <c r="D166" s="179"/>
      <c r="E166" s="180"/>
      <c r="F166" s="180"/>
      <c r="G166" s="25"/>
      <c r="H166" s="25"/>
    </row>
    <row r="167" spans="2:8" x14ac:dyDescent="0.25">
      <c r="B167" s="181" t="s">
        <v>79</v>
      </c>
      <c r="C167" s="182"/>
      <c r="D167" s="183"/>
      <c r="E167" s="184"/>
      <c r="F167" s="184"/>
      <c r="G167" s="27"/>
      <c r="H167" s="27"/>
    </row>
    <row r="168" spans="2:8" x14ac:dyDescent="0.25">
      <c r="B168" s="177" t="s">
        <v>80</v>
      </c>
      <c r="C168" s="178"/>
      <c r="D168" s="179"/>
      <c r="E168" s="184"/>
      <c r="F168" s="184"/>
      <c r="G168" s="27"/>
      <c r="H168" s="27"/>
    </row>
    <row r="169" spans="2:8" x14ac:dyDescent="0.25">
      <c r="B169" s="16"/>
      <c r="C169" s="16"/>
      <c r="D169" s="16"/>
      <c r="E169" s="17"/>
      <c r="F169" s="17"/>
      <c r="G169" s="17"/>
      <c r="H169" s="17"/>
    </row>
    <row r="170" spans="2:8" ht="36" customHeight="1" x14ac:dyDescent="0.25">
      <c r="B170" s="185" t="s">
        <v>115</v>
      </c>
      <c r="C170" s="186"/>
      <c r="D170" s="186"/>
      <c r="E170" s="186"/>
      <c r="F170" s="21" t="s">
        <v>116</v>
      </c>
    </row>
    <row r="171" spans="2:8" ht="14.45" customHeight="1" x14ac:dyDescent="0.25">
      <c r="B171" s="187" t="s">
        <v>117</v>
      </c>
      <c r="C171" s="188" t="s">
        <v>118</v>
      </c>
      <c r="D171" s="190" t="s">
        <v>119</v>
      </c>
      <c r="E171" s="191"/>
      <c r="F171" s="4"/>
    </row>
    <row r="172" spans="2:8" x14ac:dyDescent="0.25">
      <c r="B172" s="187"/>
      <c r="C172" s="189"/>
      <c r="D172" s="83" t="s">
        <v>120</v>
      </c>
      <c r="E172" s="83" t="s">
        <v>121</v>
      </c>
      <c r="F172" s="4"/>
    </row>
    <row r="173" spans="2:8" x14ac:dyDescent="0.25">
      <c r="B173" s="116"/>
      <c r="C173" s="125"/>
      <c r="D173" s="116"/>
      <c r="E173" s="116"/>
      <c r="F173" s="119"/>
    </row>
    <row r="174" spans="2:8" x14ac:dyDescent="0.25">
      <c r="B174" s="115"/>
      <c r="C174" s="115"/>
      <c r="D174" s="115"/>
      <c r="E174" s="115"/>
      <c r="F174" s="4"/>
    </row>
    <row r="175" spans="2:8" x14ac:dyDescent="0.25">
      <c r="B175" s="120"/>
      <c r="C175" s="120"/>
      <c r="D175" s="121"/>
      <c r="E175" s="121"/>
      <c r="F175" s="121"/>
      <c r="G175" s="121"/>
    </row>
    <row r="176" spans="2:8" x14ac:dyDescent="0.25">
      <c r="B176" s="120" t="s">
        <v>247</v>
      </c>
      <c r="C176" s="120"/>
      <c r="D176" s="121" t="s">
        <v>248</v>
      </c>
      <c r="E176" s="121"/>
      <c r="F176" s="121"/>
      <c r="G176" s="121"/>
    </row>
  </sheetData>
  <mergeCells count="184">
    <mergeCell ref="B161:C161"/>
    <mergeCell ref="E161:F161"/>
    <mergeCell ref="B162:D162"/>
    <mergeCell ref="E162:F162"/>
    <mergeCell ref="B163:D163"/>
    <mergeCell ref="E163:F163"/>
    <mergeCell ref="B158:C158"/>
    <mergeCell ref="E158:F158"/>
    <mergeCell ref="B167:D167"/>
    <mergeCell ref="E167:F167"/>
    <mergeCell ref="B159:C159"/>
    <mergeCell ref="E159:F159"/>
    <mergeCell ref="B160:C160"/>
    <mergeCell ref="E160:F160"/>
    <mergeCell ref="B168:D168"/>
    <mergeCell ref="E168:F168"/>
    <mergeCell ref="B170:E170"/>
    <mergeCell ref="B171:B172"/>
    <mergeCell ref="C171:C172"/>
    <mergeCell ref="D171:E171"/>
    <mergeCell ref="B164:D164"/>
    <mergeCell ref="E164:F164"/>
    <mergeCell ref="B165:D165"/>
    <mergeCell ref="E165:F165"/>
    <mergeCell ref="B166:D166"/>
    <mergeCell ref="E166:F166"/>
    <mergeCell ref="B155:C155"/>
    <mergeCell ref="E155:F155"/>
    <mergeCell ref="B156:C156"/>
    <mergeCell ref="E156:F156"/>
    <mergeCell ref="B157:C157"/>
    <mergeCell ref="E157:F157"/>
    <mergeCell ref="B150:D150"/>
    <mergeCell ref="E150:F150"/>
    <mergeCell ref="B152:D152"/>
    <mergeCell ref="E152:F152"/>
    <mergeCell ref="B154:C154"/>
    <mergeCell ref="E154:F154"/>
    <mergeCell ref="B147:D147"/>
    <mergeCell ref="E147:F147"/>
    <mergeCell ref="B148:D148"/>
    <mergeCell ref="E148:F148"/>
    <mergeCell ref="B149:D149"/>
    <mergeCell ref="E149:F149"/>
    <mergeCell ref="G111:G112"/>
    <mergeCell ref="H111:H112"/>
    <mergeCell ref="B144:D144"/>
    <mergeCell ref="E144:F144"/>
    <mergeCell ref="B146:D146"/>
    <mergeCell ref="E146:F146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B104:C104"/>
    <mergeCell ref="B105:C105"/>
    <mergeCell ref="B107:C107"/>
    <mergeCell ref="B108:C108"/>
    <mergeCell ref="B110:F110"/>
    <mergeCell ref="B111:B112"/>
    <mergeCell ref="C111:D111"/>
    <mergeCell ref="E111:E112"/>
    <mergeCell ref="F111:F112"/>
    <mergeCell ref="B98:C98"/>
    <mergeCell ref="B99:C99"/>
    <mergeCell ref="B100:C100"/>
    <mergeCell ref="B101:C101"/>
    <mergeCell ref="B102:C102"/>
    <mergeCell ref="B103:C103"/>
    <mergeCell ref="B96:G96"/>
    <mergeCell ref="B97:C97"/>
    <mergeCell ref="B94:C94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50:C50"/>
    <mergeCell ref="B51:C51"/>
    <mergeCell ref="B52:C52"/>
    <mergeCell ref="B53:C53"/>
    <mergeCell ref="B54:C54"/>
    <mergeCell ref="B69:C69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20:C21"/>
    <mergeCell ref="D20:D21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</mergeCells>
  <pageMargins left="0.11811023622047245" right="0.11811023622047245" top="0.15748031496062992" bottom="0.15748031496062992" header="0.31496062992125984" footer="0.31496062992125984"/>
  <pageSetup paperSize="9" scale="56" orientation="portrait" r:id="rId1"/>
  <headerFooter alignWithMargins="0"/>
  <rowBreaks count="2" manualBreakCount="2">
    <brk id="72" max="7" man="1"/>
    <brk id="11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5"/>
  <sheetViews>
    <sheetView view="pageBreakPreview" topLeftCell="A2" zoomScale="70" zoomScaleSheetLayoutView="70" workbookViewId="0">
      <selection activeCell="E26" sqref="E26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212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213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4246.8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3942.8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304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4246.8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207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92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221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40370.080000000002</v>
      </c>
      <c r="E22" s="7">
        <v>40370.080000000002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1674680.9400000002</v>
      </c>
      <c r="E23" s="45">
        <f>E38+D97+C141</f>
        <v>695795.08</v>
      </c>
      <c r="F23" s="7">
        <f>D98+D99+D100+D101+D102+D103+D104+D105</f>
        <v>164565.40000000002</v>
      </c>
      <c r="G23" s="7">
        <f>F112+F113+F114+F115+F116+F117</f>
        <v>814320.4600000002</v>
      </c>
      <c r="H23" s="2"/>
    </row>
    <row r="24" spans="1:8" x14ac:dyDescent="0.25">
      <c r="B24" s="223" t="s">
        <v>24</v>
      </c>
      <c r="C24" s="224"/>
      <c r="D24" s="43">
        <f>E24+F24+G24</f>
        <v>1553500.6</v>
      </c>
      <c r="E24" s="45">
        <f>F38+E97+D139+D140</f>
        <v>678547.99</v>
      </c>
      <c r="F24" s="7">
        <f>E98+E99+E101+E102+E105+E100+E103+E104</f>
        <v>180170.04</v>
      </c>
      <c r="G24" s="7">
        <f>G118</f>
        <v>694782.57000000007</v>
      </c>
      <c r="H24" s="2"/>
    </row>
    <row r="25" spans="1:8" x14ac:dyDescent="0.25">
      <c r="B25" s="223" t="s">
        <v>25</v>
      </c>
      <c r="C25" s="224"/>
      <c r="D25" s="7">
        <f>E25+F25+G25</f>
        <v>1492751.2000000002</v>
      </c>
      <c r="E25" s="7">
        <f>D141+529198.4</f>
        <v>617798.59000000008</v>
      </c>
      <c r="F25" s="7">
        <f>F24</f>
        <v>180170.04</v>
      </c>
      <c r="G25" s="7">
        <f>G24</f>
        <v>694782.57000000007</v>
      </c>
      <c r="H25" s="2"/>
    </row>
    <row r="26" spans="1:8" x14ac:dyDescent="0.25">
      <c r="B26" s="223" t="s">
        <v>253</v>
      </c>
      <c r="C26" s="224"/>
      <c r="D26" s="7">
        <f>E26+F26+G26</f>
        <v>374981.04000000004</v>
      </c>
      <c r="E26" s="45">
        <f>G38+G97+F141</f>
        <v>65628.72</v>
      </c>
      <c r="F26" s="45">
        <f>G106-G97</f>
        <v>46849.16</v>
      </c>
      <c r="G26" s="45">
        <f>H118</f>
        <v>262503.16000000003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72876.42</v>
      </c>
      <c r="F31" s="40">
        <v>71793.75</v>
      </c>
      <c r="G31" s="88">
        <f>11742.26-6426.72</f>
        <v>5315.54</v>
      </c>
      <c r="H31" s="5"/>
    </row>
    <row r="32" spans="1:8" x14ac:dyDescent="0.25">
      <c r="B32" s="174" t="s">
        <v>34</v>
      </c>
      <c r="C32" s="212"/>
      <c r="D32" s="175"/>
      <c r="E32" s="88">
        <v>96536.13</v>
      </c>
      <c r="F32" s="40">
        <v>95534.99</v>
      </c>
      <c r="G32" s="88">
        <f>15548.91-8358.73</f>
        <v>7190.18</v>
      </c>
      <c r="H32" s="5"/>
    </row>
    <row r="33" spans="2:8" x14ac:dyDescent="0.25">
      <c r="B33" s="174" t="s">
        <v>35</v>
      </c>
      <c r="C33" s="212"/>
      <c r="D33" s="175"/>
      <c r="E33" s="88">
        <v>58679.7</v>
      </c>
      <c r="F33" s="40">
        <v>57872.88</v>
      </c>
      <c r="G33" s="88">
        <f>9646.17-5165.16</f>
        <v>4481.01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142126.16</v>
      </c>
      <c r="F35" s="40">
        <v>139707.12</v>
      </c>
      <c r="G35" s="88">
        <f>23240.95-12953</f>
        <v>10287.950000000001</v>
      </c>
      <c r="H35" s="5"/>
    </row>
    <row r="36" spans="2:8" x14ac:dyDescent="0.25">
      <c r="B36" s="174" t="s">
        <v>38</v>
      </c>
      <c r="C36" s="212"/>
      <c r="D36" s="175"/>
      <c r="E36" s="88">
        <f>100436.74</f>
        <v>100436.74</v>
      </c>
      <c r="F36" s="40">
        <f>98480.3+469.6</f>
        <v>98949.900000000009</v>
      </c>
      <c r="G36" s="88">
        <f>14158.99+1472.05+2554.29-10871.8</f>
        <v>7313.5299999999988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97148.45</v>
      </c>
      <c r="F37" s="40">
        <f>95323.49+327.91</f>
        <v>95651.400000000009</v>
      </c>
      <c r="G37" s="88">
        <f>13455.66+2617.32-8748.4</f>
        <v>7324.58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567803.6</v>
      </c>
      <c r="F38" s="41">
        <f>SUM(F31:F37)</f>
        <v>559510.04</v>
      </c>
      <c r="G38" s="41">
        <f>SUM(G31:G37)</f>
        <v>41912.790000000008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F46+F45+F47</f>
        <v>228092.25</v>
      </c>
      <c r="G44" s="123"/>
      <c r="H44" s="123">
        <f t="shared" ref="H44" si="0">H46+H45+H47</f>
        <v>160740.06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72876.42</v>
      </c>
      <c r="G45" s="112"/>
      <c r="H45" s="105">
        <f>40871.8-9327.6</f>
        <v>31544.200000000004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96536.13</v>
      </c>
      <c r="G46" s="112"/>
      <c r="H46" s="105">
        <f>67404.8-12560.74</f>
        <v>54844.060000000005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58679.7</v>
      </c>
      <c r="G47" s="112"/>
      <c r="H47" s="105">
        <f>81884.9-7533.1</f>
        <v>74351.799999999988</v>
      </c>
    </row>
    <row r="48" spans="2:8" hidden="1" x14ac:dyDescent="0.25">
      <c r="B48" s="174" t="s">
        <v>36</v>
      </c>
      <c r="C48" s="175"/>
      <c r="D48" s="88"/>
      <c r="E48" s="10"/>
      <c r="F48" s="105"/>
      <c r="G48" s="112"/>
      <c r="H48" s="105"/>
    </row>
    <row r="49" spans="2:8" x14ac:dyDescent="0.25">
      <c r="B49" s="202" t="s">
        <v>65</v>
      </c>
      <c r="C49" s="203"/>
      <c r="D49" s="88"/>
      <c r="E49" s="10"/>
      <c r="F49" s="113"/>
      <c r="G49" s="112"/>
      <c r="H49" s="113"/>
    </row>
    <row r="50" spans="2:8" ht="30.75" customHeight="1" x14ac:dyDescent="0.25">
      <c r="B50" s="174" t="s">
        <v>66</v>
      </c>
      <c r="C50" s="175"/>
      <c r="D50" s="169" t="s">
        <v>266</v>
      </c>
      <c r="E50" s="169"/>
      <c r="F50" s="10"/>
      <c r="G50" s="16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268</v>
      </c>
      <c r="F51" s="151">
        <f>10210.26+2140</f>
        <v>12350.26</v>
      </c>
      <c r="G51" s="150" t="s">
        <v>275</v>
      </c>
      <c r="H51" s="151">
        <f>10210.26+2140</f>
        <v>12350.26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1984</v>
      </c>
      <c r="G52" s="169" t="s">
        <v>267</v>
      </c>
      <c r="H52" s="152">
        <v>2810.84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1078+3901.92</f>
        <v>4979.92</v>
      </c>
      <c r="G53" s="169" t="s">
        <v>267</v>
      </c>
      <c r="H53" s="152">
        <f>968.54+3752.34</f>
        <v>4720.88</v>
      </c>
    </row>
    <row r="54" spans="2:8" x14ac:dyDescent="0.25">
      <c r="B54" s="208" t="s">
        <v>397</v>
      </c>
      <c r="C54" s="209"/>
      <c r="D54" s="150" t="s">
        <v>272</v>
      </c>
      <c r="E54" s="150" t="s">
        <v>495</v>
      </c>
      <c r="F54" s="151">
        <v>883.5</v>
      </c>
      <c r="G54" s="150" t="s">
        <v>495</v>
      </c>
      <c r="H54" s="151">
        <v>883.5</v>
      </c>
    </row>
    <row r="55" spans="2:8" x14ac:dyDescent="0.25">
      <c r="B55" s="208" t="s">
        <v>273</v>
      </c>
      <c r="C55" s="209"/>
      <c r="D55" s="153"/>
      <c r="E55" s="108"/>
      <c r="F55" s="154"/>
      <c r="G55" s="108"/>
      <c r="H55" s="154"/>
    </row>
    <row r="56" spans="2:8" x14ac:dyDescent="0.25">
      <c r="B56" s="239" t="s">
        <v>274</v>
      </c>
      <c r="C56" s="240"/>
      <c r="D56" s="108" t="s">
        <v>272</v>
      </c>
      <c r="E56" s="155"/>
      <c r="F56" s="156"/>
      <c r="G56" s="155"/>
      <c r="H56" s="156"/>
    </row>
    <row r="57" spans="2:8" x14ac:dyDescent="0.25">
      <c r="B57" s="239" t="s">
        <v>276</v>
      </c>
      <c r="C57" s="240"/>
      <c r="D57" s="108" t="s">
        <v>272</v>
      </c>
      <c r="E57" s="108"/>
      <c r="F57" s="156"/>
      <c r="G57" s="155"/>
      <c r="H57" s="156"/>
    </row>
    <row r="58" spans="2:8" x14ac:dyDescent="0.25">
      <c r="B58" s="239" t="s">
        <v>277</v>
      </c>
      <c r="C58" s="240"/>
      <c r="D58" s="108" t="s">
        <v>272</v>
      </c>
      <c r="E58" s="108"/>
      <c r="F58" s="157"/>
      <c r="G58" s="155"/>
      <c r="H58" s="156"/>
    </row>
    <row r="59" spans="2:8" x14ac:dyDescent="0.25">
      <c r="B59" s="239" t="s">
        <v>278</v>
      </c>
      <c r="C59" s="240"/>
      <c r="D59" s="108" t="s">
        <v>272</v>
      </c>
      <c r="E59" s="150"/>
      <c r="F59" s="158"/>
      <c r="G59" s="159"/>
      <c r="H59" s="158"/>
    </row>
    <row r="60" spans="2:8" x14ac:dyDescent="0.25">
      <c r="B60" s="241" t="s">
        <v>279</v>
      </c>
      <c r="C60" s="242"/>
      <c r="D60" s="108" t="s">
        <v>272</v>
      </c>
      <c r="E60" s="150"/>
      <c r="F60" s="160"/>
      <c r="G60" s="159"/>
      <c r="H60" s="158"/>
    </row>
    <row r="61" spans="2:8" x14ac:dyDescent="0.25">
      <c r="B61" s="208" t="s">
        <v>69</v>
      </c>
      <c r="C61" s="209"/>
      <c r="D61" s="108" t="s">
        <v>272</v>
      </c>
      <c r="E61" s="161"/>
      <c r="F61" s="152"/>
      <c r="G61" s="161"/>
      <c r="H61" s="152"/>
    </row>
    <row r="62" spans="2:8" x14ac:dyDescent="0.25">
      <c r="B62" s="208" t="s">
        <v>280</v>
      </c>
      <c r="C62" s="209"/>
      <c r="D62" s="108" t="s">
        <v>272</v>
      </c>
      <c r="E62" s="108"/>
      <c r="F62" s="154"/>
      <c r="G62" s="108"/>
      <c r="H62" s="152"/>
    </row>
    <row r="63" spans="2:8" x14ac:dyDescent="0.25">
      <c r="B63" s="208" t="s">
        <v>281</v>
      </c>
      <c r="C63" s="209"/>
      <c r="D63" s="150"/>
      <c r="E63" s="150"/>
      <c r="F63" s="151"/>
      <c r="G63" s="150"/>
      <c r="H63" s="151"/>
    </row>
    <row r="64" spans="2:8" x14ac:dyDescent="0.25">
      <c r="B64" s="208" t="s">
        <v>282</v>
      </c>
      <c r="C64" s="209"/>
      <c r="D64" s="153"/>
      <c r="E64" s="108"/>
      <c r="F64" s="154"/>
      <c r="G64" s="108"/>
      <c r="H64" s="154"/>
    </row>
    <row r="65" spans="2:8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8" ht="37.5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8" ht="36.7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8" ht="40.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8" ht="82.5" customHeight="1" x14ac:dyDescent="0.25">
      <c r="B69" s="208" t="s">
        <v>54</v>
      </c>
      <c r="C69" s="209"/>
      <c r="D69" s="150" t="s">
        <v>266</v>
      </c>
      <c r="E69" s="150" t="s">
        <v>271</v>
      </c>
      <c r="F69" s="151">
        <v>7634.18</v>
      </c>
      <c r="G69" s="150" t="s">
        <v>271</v>
      </c>
      <c r="H69" s="151">
        <v>7354.19</v>
      </c>
    </row>
    <row r="70" spans="2:8" x14ac:dyDescent="0.25">
      <c r="B70" s="208" t="s">
        <v>55</v>
      </c>
      <c r="C70" s="209"/>
      <c r="D70" s="108" t="s">
        <v>266</v>
      </c>
      <c r="E70" s="108" t="s">
        <v>325</v>
      </c>
      <c r="F70" s="152">
        <v>1844</v>
      </c>
      <c r="G70" s="108" t="s">
        <v>498</v>
      </c>
      <c r="H70" s="152">
        <f>630.1+20539.5</f>
        <v>21169.599999999999</v>
      </c>
    </row>
    <row r="71" spans="2:8" x14ac:dyDescent="0.25">
      <c r="B71" s="208" t="s">
        <v>56</v>
      </c>
      <c r="C71" s="209"/>
      <c r="D71" s="108" t="s">
        <v>266</v>
      </c>
      <c r="E71" s="108" t="s">
        <v>271</v>
      </c>
      <c r="F71" s="152">
        <v>16680.009999999998</v>
      </c>
      <c r="G71" s="108" t="s">
        <v>271</v>
      </c>
      <c r="H71" s="152">
        <v>16680.009999999998</v>
      </c>
    </row>
    <row r="72" spans="2:8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</row>
    <row r="73" spans="2:8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8" ht="16.5" customHeight="1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8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8" ht="39.75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8" ht="38.25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8" ht="69.75" customHeight="1" x14ac:dyDescent="0.25">
      <c r="B78" s="208" t="s">
        <v>62</v>
      </c>
      <c r="C78" s="209"/>
      <c r="D78" s="150" t="s">
        <v>266</v>
      </c>
      <c r="E78" s="150" t="s">
        <v>271</v>
      </c>
      <c r="F78" s="151">
        <f>8173.98+5768.05+4009.87</f>
        <v>17951.899999999998</v>
      </c>
      <c r="G78" s="150" t="s">
        <v>271</v>
      </c>
      <c r="H78" s="151">
        <f>8251.09+5775.76+4043.03</f>
        <v>18069.88</v>
      </c>
    </row>
    <row r="79" spans="2:8" x14ac:dyDescent="0.25">
      <c r="B79" s="208" t="s">
        <v>290</v>
      </c>
      <c r="C79" s="209"/>
      <c r="D79" s="108" t="s">
        <v>291</v>
      </c>
      <c r="E79" s="161" t="s">
        <v>438</v>
      </c>
      <c r="F79" s="152">
        <f>8812.6+2772+7587.92</f>
        <v>19172.52</v>
      </c>
      <c r="G79" s="108" t="s">
        <v>515</v>
      </c>
      <c r="H79" s="152">
        <f>8812.6+1634+14296.5+3534.4+1671.8+2457.7</f>
        <v>32407</v>
      </c>
    </row>
    <row r="80" spans="2:8" x14ac:dyDescent="0.25">
      <c r="B80" s="208" t="s">
        <v>282</v>
      </c>
      <c r="C80" s="209"/>
      <c r="D80" s="108"/>
      <c r="E80" s="108"/>
      <c r="F80" s="154"/>
      <c r="G80" s="108"/>
      <c r="H80" s="152"/>
    </row>
    <row r="81" spans="2:11" x14ac:dyDescent="0.25">
      <c r="B81" s="208" t="s">
        <v>381</v>
      </c>
      <c r="C81" s="209"/>
      <c r="D81" s="108"/>
      <c r="E81" s="108"/>
      <c r="F81" s="152"/>
      <c r="G81" s="108"/>
      <c r="H81" s="152"/>
    </row>
    <row r="82" spans="2:11" x14ac:dyDescent="0.25">
      <c r="B82" s="243" t="s">
        <v>63</v>
      </c>
      <c r="C82" s="244"/>
      <c r="D82" s="153"/>
      <c r="E82" s="108" t="s">
        <v>271</v>
      </c>
      <c r="F82" s="152">
        <v>15095.88</v>
      </c>
      <c r="G82" s="108" t="s">
        <v>271</v>
      </c>
      <c r="H82" s="152">
        <v>15095.88</v>
      </c>
    </row>
    <row r="83" spans="2:11" x14ac:dyDescent="0.25">
      <c r="B83" s="243" t="s">
        <v>64</v>
      </c>
      <c r="C83" s="244"/>
      <c r="D83" s="108"/>
      <c r="E83" s="108" t="s">
        <v>271</v>
      </c>
      <c r="F83" s="152">
        <v>12800.75</v>
      </c>
      <c r="G83" s="108" t="s">
        <v>271</v>
      </c>
      <c r="H83" s="152">
        <v>12517.47</v>
      </c>
    </row>
    <row r="84" spans="2:11" x14ac:dyDescent="0.25">
      <c r="B84" s="243" t="s">
        <v>294</v>
      </c>
      <c r="C84" s="244"/>
      <c r="D84" s="108"/>
      <c r="E84" s="108"/>
      <c r="F84" s="162"/>
      <c r="G84" s="163"/>
      <c r="H84" s="162"/>
    </row>
    <row r="85" spans="2:11" ht="19.5" customHeight="1" x14ac:dyDescent="0.25">
      <c r="B85" s="208" t="s">
        <v>295</v>
      </c>
      <c r="C85" s="209"/>
      <c r="D85" s="153" t="s">
        <v>296</v>
      </c>
      <c r="E85" s="108"/>
      <c r="F85" s="152"/>
      <c r="G85" s="108"/>
      <c r="H85" s="152"/>
    </row>
    <row r="86" spans="2:11" ht="18" customHeight="1" x14ac:dyDescent="0.25">
      <c r="B86" s="208" t="s">
        <v>71</v>
      </c>
      <c r="C86" s="209"/>
      <c r="D86" s="153" t="s">
        <v>297</v>
      </c>
      <c r="E86" s="108"/>
      <c r="F86" s="152"/>
      <c r="G86" s="108"/>
      <c r="H86" s="152"/>
    </row>
    <row r="87" spans="2:11" ht="23.25" customHeight="1" x14ac:dyDescent="0.25">
      <c r="B87" s="208" t="s">
        <v>72</v>
      </c>
      <c r="C87" s="209"/>
      <c r="D87" s="108" t="s">
        <v>299</v>
      </c>
      <c r="E87" s="108" t="s">
        <v>516</v>
      </c>
      <c r="F87" s="152">
        <v>1812.47</v>
      </c>
      <c r="G87" s="108" t="s">
        <v>516</v>
      </c>
      <c r="H87" s="152">
        <v>1812.47</v>
      </c>
    </row>
    <row r="88" spans="2:11" ht="22.5" customHeight="1" x14ac:dyDescent="0.25">
      <c r="B88" s="208" t="s">
        <v>301</v>
      </c>
      <c r="C88" s="209"/>
      <c r="D88" s="108" t="s">
        <v>291</v>
      </c>
      <c r="E88" s="108" t="s">
        <v>271</v>
      </c>
      <c r="F88" s="152">
        <v>14258.19</v>
      </c>
      <c r="G88" s="108" t="s">
        <v>271</v>
      </c>
      <c r="H88" s="161">
        <v>14258.19</v>
      </c>
    </row>
    <row r="89" spans="2:11" x14ac:dyDescent="0.25">
      <c r="B89" s="208" t="s">
        <v>282</v>
      </c>
      <c r="C89" s="209"/>
      <c r="D89" s="108"/>
      <c r="E89" s="108"/>
      <c r="F89" s="154"/>
      <c r="G89" s="108"/>
      <c r="H89" s="154"/>
    </row>
    <row r="90" spans="2:11" x14ac:dyDescent="0.25">
      <c r="B90" s="208" t="s">
        <v>406</v>
      </c>
      <c r="C90" s="209"/>
      <c r="D90" s="108" t="s">
        <v>407</v>
      </c>
      <c r="E90" s="108" t="s">
        <v>517</v>
      </c>
      <c r="F90" s="152">
        <v>74814</v>
      </c>
      <c r="G90" s="108" t="s">
        <v>517</v>
      </c>
      <c r="H90" s="152">
        <v>74814</v>
      </c>
    </row>
    <row r="91" spans="2:11" x14ac:dyDescent="0.25">
      <c r="B91" s="208" t="s">
        <v>302</v>
      </c>
      <c r="C91" s="209"/>
      <c r="D91" s="108" t="s">
        <v>291</v>
      </c>
      <c r="E91" s="108" t="s">
        <v>518</v>
      </c>
      <c r="F91" s="152">
        <v>6323.26</v>
      </c>
      <c r="G91" s="108" t="s">
        <v>518</v>
      </c>
      <c r="H91" s="152">
        <v>5201.79</v>
      </c>
    </row>
    <row r="92" spans="2:11" ht="34.5" customHeight="1" x14ac:dyDescent="0.25">
      <c r="B92" s="208" t="s">
        <v>320</v>
      </c>
      <c r="C92" s="209"/>
      <c r="D92" s="108"/>
      <c r="E92" s="108"/>
      <c r="F92" s="152">
        <v>73304.59</v>
      </c>
      <c r="G92" s="108"/>
      <c r="H92" s="152">
        <v>73304.59</v>
      </c>
      <c r="K92" s="5"/>
    </row>
    <row r="93" spans="2:11" x14ac:dyDescent="0.25">
      <c r="B93" s="206" t="s">
        <v>73</v>
      </c>
      <c r="C93" s="207"/>
      <c r="D93" s="108"/>
      <c r="E93" s="108"/>
      <c r="F93" s="165">
        <v>497000</v>
      </c>
      <c r="G93" s="165"/>
      <c r="H93" s="165">
        <f>529198.4-50986.9</f>
        <v>478211.5</v>
      </c>
    </row>
    <row r="94" spans="2:11" x14ac:dyDescent="0.25">
      <c r="B94" s="9"/>
      <c r="C94" s="9"/>
      <c r="D94" s="5"/>
      <c r="E94" s="5"/>
      <c r="F94" s="15"/>
      <c r="G94" s="5"/>
      <c r="H94" s="15"/>
    </row>
    <row r="95" spans="2:11" x14ac:dyDescent="0.25">
      <c r="B95" s="201" t="s">
        <v>177</v>
      </c>
      <c r="C95" s="201"/>
      <c r="D95" s="201"/>
      <c r="E95" s="201"/>
      <c r="F95" s="201"/>
      <c r="G95" s="201"/>
    </row>
    <row r="96" spans="2:11" ht="63" customHeight="1" x14ac:dyDescent="0.25">
      <c r="B96" s="194" t="s">
        <v>29</v>
      </c>
      <c r="C96" s="194"/>
      <c r="D96" s="91" t="s">
        <v>30</v>
      </c>
      <c r="E96" s="91" t="s">
        <v>31</v>
      </c>
      <c r="F96" s="89" t="s">
        <v>82</v>
      </c>
      <c r="G96" s="89" t="s">
        <v>32</v>
      </c>
    </row>
    <row r="97" spans="2:8" x14ac:dyDescent="0.25">
      <c r="B97" s="181" t="s">
        <v>83</v>
      </c>
      <c r="C97" s="183"/>
      <c r="D97" s="88">
        <v>43657.4</v>
      </c>
      <c r="E97" s="88">
        <v>30437.759999999998</v>
      </c>
      <c r="F97" s="88">
        <f>E97</f>
        <v>30437.759999999998</v>
      </c>
      <c r="G97" s="85">
        <f>18793.8-10914.35</f>
        <v>7879.4499999999989</v>
      </c>
    </row>
    <row r="98" spans="2:8" x14ac:dyDescent="0.25">
      <c r="B98" s="181" t="s">
        <v>84</v>
      </c>
      <c r="C98" s="183"/>
      <c r="D98" s="88">
        <f>24032.33-335.14+6508.95-90.77+7430.74-103.62+12638.59</f>
        <v>50081.08</v>
      </c>
      <c r="E98" s="88">
        <f>26396.25+7236.11+8000.25+12450.11</f>
        <v>54082.720000000001</v>
      </c>
      <c r="F98" s="98">
        <f t="shared" ref="F98:F105" si="1">E98</f>
        <v>54082.720000000001</v>
      </c>
      <c r="G98" s="85">
        <f>12298.16+3005.22+2921.79-5850.95+153.3-1584.68+41.52-1809.1+47.4+907.42</f>
        <v>10130.079999999996</v>
      </c>
    </row>
    <row r="99" spans="2:8" ht="30" customHeight="1" x14ac:dyDescent="0.25">
      <c r="B99" s="174" t="s">
        <v>85</v>
      </c>
      <c r="C99" s="175"/>
      <c r="D99" s="88">
        <f>15291.72-3.24</f>
        <v>15288.48</v>
      </c>
      <c r="E99" s="88">
        <v>16064.21</v>
      </c>
      <c r="F99" s="98">
        <f t="shared" si="1"/>
        <v>16064.21</v>
      </c>
      <c r="G99" s="85">
        <f>6824.97-3822.12</f>
        <v>3002.8500000000004</v>
      </c>
    </row>
    <row r="100" spans="2:8" ht="30" customHeight="1" x14ac:dyDescent="0.25">
      <c r="B100" s="174" t="s">
        <v>86</v>
      </c>
      <c r="C100" s="175"/>
      <c r="D100" s="88">
        <f>3907.71-0.83</f>
        <v>3906.88</v>
      </c>
      <c r="E100" s="88">
        <v>4117.8599999999997</v>
      </c>
      <c r="F100" s="98">
        <f t="shared" si="1"/>
        <v>4117.8599999999997</v>
      </c>
      <c r="G100" s="85">
        <f>1615.46-976.72</f>
        <v>638.74</v>
      </c>
    </row>
    <row r="101" spans="2:8" x14ac:dyDescent="0.25">
      <c r="B101" s="174" t="s">
        <v>87</v>
      </c>
      <c r="C101" s="175"/>
      <c r="D101" s="88">
        <f>56579.19-11.99</f>
        <v>56567.200000000004</v>
      </c>
      <c r="E101" s="88">
        <f>1423.27+59309.3</f>
        <v>60732.57</v>
      </c>
      <c r="F101" s="98">
        <f t="shared" si="1"/>
        <v>60732.57</v>
      </c>
      <c r="G101" s="85">
        <f>7720.17+25432.91-14141.8</f>
        <v>19011.280000000002</v>
      </c>
    </row>
    <row r="102" spans="2:8" x14ac:dyDescent="0.25">
      <c r="B102" s="174" t="s">
        <v>88</v>
      </c>
      <c r="C102" s="175"/>
      <c r="D102" s="88">
        <f>2718.5-0.58</f>
        <v>2717.92</v>
      </c>
      <c r="E102" s="88">
        <v>2850.8</v>
      </c>
      <c r="F102" s="98">
        <f t="shared" si="1"/>
        <v>2850.8</v>
      </c>
      <c r="G102" s="85">
        <f>1237.47-679.48</f>
        <v>557.99</v>
      </c>
    </row>
    <row r="103" spans="2:8" x14ac:dyDescent="0.25">
      <c r="B103" s="174" t="s">
        <v>150</v>
      </c>
      <c r="C103" s="175"/>
      <c r="D103" s="88">
        <v>9800</v>
      </c>
      <c r="E103" s="88">
        <f>10458.86+21.34</f>
        <v>10480.200000000001</v>
      </c>
      <c r="F103" s="98">
        <f t="shared" si="1"/>
        <v>10480.200000000001</v>
      </c>
      <c r="G103" s="85">
        <f>6129.28+729.59-2450</f>
        <v>4408.87</v>
      </c>
    </row>
    <row r="104" spans="2:8" x14ac:dyDescent="0.25">
      <c r="B104" s="174" t="s">
        <v>89</v>
      </c>
      <c r="C104" s="175"/>
      <c r="D104" s="88">
        <v>9216.64</v>
      </c>
      <c r="E104" s="88">
        <v>10058.35</v>
      </c>
      <c r="F104" s="98">
        <f t="shared" si="1"/>
        <v>10058.35</v>
      </c>
      <c r="G104" s="85">
        <f>4356.4-2304.16</f>
        <v>2052.2399999999998</v>
      </c>
    </row>
    <row r="105" spans="2:8" ht="30" x14ac:dyDescent="0.25">
      <c r="B105" s="86" t="s">
        <v>81</v>
      </c>
      <c r="C105" s="87"/>
      <c r="D105" s="88">
        <f>16990.8-3.6</f>
        <v>16987.2</v>
      </c>
      <c r="E105" s="88">
        <f>17839.09+3936.66+4.61+2.97</f>
        <v>21783.33</v>
      </c>
      <c r="F105" s="98">
        <f t="shared" si="1"/>
        <v>21783.33</v>
      </c>
      <c r="G105" s="85">
        <f>8116.05+2535.67+528.48+82.93+30.78-4246.8</f>
        <v>7047.1100000000015</v>
      </c>
    </row>
    <row r="106" spans="2:8" ht="18.75" customHeight="1" x14ac:dyDescent="0.25">
      <c r="B106" s="202" t="s">
        <v>90</v>
      </c>
      <c r="C106" s="203"/>
      <c r="D106" s="90">
        <f>SUM(D97:D105)</f>
        <v>208222.80000000005</v>
      </c>
      <c r="E106" s="90">
        <f>SUM(E97:E105)</f>
        <v>210607.8</v>
      </c>
      <c r="F106" s="88">
        <f>E106</f>
        <v>210607.8</v>
      </c>
      <c r="G106" s="90">
        <f>SUM(G97:G105)</f>
        <v>54728.61</v>
      </c>
    </row>
    <row r="107" spans="2:8" x14ac:dyDescent="0.25">
      <c r="B107" s="202" t="s">
        <v>91</v>
      </c>
      <c r="C107" s="203"/>
      <c r="D107" s="96">
        <f>D106+F118+E38+C141</f>
        <v>1674680.9400000004</v>
      </c>
      <c r="E107" s="96">
        <f>E106+G118+F38+D141</f>
        <v>1553500.6</v>
      </c>
      <c r="F107" s="96">
        <f>E107</f>
        <v>1553500.6</v>
      </c>
      <c r="G107" s="96">
        <f>G38+G106+H118+F141</f>
        <v>374981.04000000004</v>
      </c>
    </row>
    <row r="108" spans="2:8" x14ac:dyDescent="0.25">
      <c r="B108" s="16"/>
      <c r="C108" s="16"/>
      <c r="D108" s="16"/>
      <c r="E108" s="17"/>
      <c r="F108" s="17"/>
      <c r="G108" s="17"/>
      <c r="H108" s="17"/>
    </row>
    <row r="109" spans="2:8" x14ac:dyDescent="0.25">
      <c r="B109" s="204" t="s">
        <v>176</v>
      </c>
      <c r="C109" s="201"/>
      <c r="D109" s="201"/>
      <c r="E109" s="201"/>
      <c r="F109" s="201"/>
    </row>
    <row r="110" spans="2:8" ht="38.25" customHeight="1" x14ac:dyDescent="0.25">
      <c r="B110" s="194" t="s">
        <v>29</v>
      </c>
      <c r="C110" s="194" t="s">
        <v>93</v>
      </c>
      <c r="D110" s="194"/>
      <c r="E110" s="205" t="s">
        <v>94</v>
      </c>
      <c r="F110" s="194" t="s">
        <v>30</v>
      </c>
      <c r="G110" s="194" t="s">
        <v>31</v>
      </c>
      <c r="H110" s="195" t="s">
        <v>95</v>
      </c>
    </row>
    <row r="111" spans="2:8" ht="35.25" customHeight="1" x14ac:dyDescent="0.25">
      <c r="B111" s="194"/>
      <c r="C111" s="91" t="s">
        <v>96</v>
      </c>
      <c r="D111" s="19" t="s">
        <v>97</v>
      </c>
      <c r="E111" s="205"/>
      <c r="F111" s="194"/>
      <c r="G111" s="194"/>
      <c r="H111" s="195"/>
    </row>
    <row r="112" spans="2:8" x14ac:dyDescent="0.25">
      <c r="B112" s="10" t="s">
        <v>98</v>
      </c>
      <c r="C112" s="88">
        <v>1400.08</v>
      </c>
      <c r="D112" s="42">
        <v>1439.26</v>
      </c>
      <c r="E112" s="110">
        <v>273.16000000000003</v>
      </c>
      <c r="F112" s="88">
        <f>-557.32+393126.2-3808.04</f>
        <v>388760.84</v>
      </c>
      <c r="G112" s="88">
        <f>224.76+225488.56</f>
        <v>225713.32</v>
      </c>
      <c r="H112" s="88">
        <f>335.98+211491.34-155815.03</f>
        <v>56012.290000000008</v>
      </c>
    </row>
    <row r="113" spans="2:8" x14ac:dyDescent="0.25">
      <c r="B113" s="10" t="s">
        <v>147</v>
      </c>
      <c r="C113" s="88">
        <v>22.15</v>
      </c>
      <c r="D113" s="42">
        <v>26.44</v>
      </c>
      <c r="E113" s="110">
        <v>1167.57</v>
      </c>
      <c r="F113" s="88">
        <f>117410.96-4799.34+4570.75+688.32+1249.69+110.76+29620.97-789.12</f>
        <v>148062.99000000002</v>
      </c>
      <c r="G113" s="88">
        <f>127841.45+4137.82+1057.44+28017.79</f>
        <v>161054.5</v>
      </c>
      <c r="H113" s="88">
        <f>86537.41+3396.67+941.23+15368.31-28166.06+5.84-1714.79+270.57-479.56+74.04-7875.53-74.49</f>
        <v>68283.64</v>
      </c>
    </row>
    <row r="114" spans="2:8" x14ac:dyDescent="0.25">
      <c r="B114" s="10" t="s">
        <v>99</v>
      </c>
      <c r="C114" s="88">
        <v>18.43</v>
      </c>
      <c r="D114" s="42">
        <v>19.22</v>
      </c>
      <c r="E114" s="110">
        <v>2494.4299999999998</v>
      </c>
      <c r="F114" s="88">
        <f>8032.77+501.24+39199.01-2340.85</f>
        <v>45392.170000000006</v>
      </c>
      <c r="G114" s="88">
        <f>11866.07+43277.42+122.95</f>
        <v>55266.439999999995</v>
      </c>
      <c r="H114" s="88">
        <f>2387.03+33011+3717.45-1635.42+280.38-9320.08-280.71</f>
        <v>28159.649999999994</v>
      </c>
    </row>
    <row r="115" spans="2:8" x14ac:dyDescent="0.25">
      <c r="B115" s="10" t="s">
        <v>100</v>
      </c>
      <c r="C115" s="88">
        <v>12.31</v>
      </c>
      <c r="D115" s="42">
        <v>12.84</v>
      </c>
      <c r="E115" s="110">
        <v>3578.08</v>
      </c>
      <c r="F115" s="88">
        <f>40571.86-1783.56-159.52</f>
        <v>38628.780000000006</v>
      </c>
      <c r="G115" s="88">
        <f>46551.17+25.36</f>
        <v>46576.53</v>
      </c>
      <c r="H115" s="88">
        <f>30005.25-10050.9-223.59</f>
        <v>19730.759999999998</v>
      </c>
    </row>
    <row r="116" spans="2:8" x14ac:dyDescent="0.25">
      <c r="B116" s="10" t="s">
        <v>101</v>
      </c>
      <c r="C116" s="88" t="s">
        <v>145</v>
      </c>
      <c r="D116" s="42" t="s">
        <v>146</v>
      </c>
      <c r="E116" s="110">
        <v>56312.12</v>
      </c>
      <c r="F116" s="88">
        <f>30254.59+289.71+140662.53+7818.34</f>
        <v>179025.16999999998</v>
      </c>
      <c r="G116" s="88">
        <f>32966.67+156845.47</f>
        <v>189812.14</v>
      </c>
      <c r="H116" s="88">
        <f>19900.59+111895.15+383.44-6903.6-649.32-35954.81+510.59</f>
        <v>89182.039999999979</v>
      </c>
    </row>
    <row r="117" spans="2:8" x14ac:dyDescent="0.25">
      <c r="B117" s="10" t="s">
        <v>102</v>
      </c>
      <c r="C117" s="88">
        <v>2.2999999999999998</v>
      </c>
      <c r="D117" s="42">
        <v>2.39</v>
      </c>
      <c r="E117" s="110">
        <f t="shared" ref="E117" si="2">F117/D117</f>
        <v>6046.2384937238494</v>
      </c>
      <c r="F117" s="88">
        <f>14378.44+72.07</f>
        <v>14450.51</v>
      </c>
      <c r="G117" s="88">
        <v>16359.64</v>
      </c>
      <c r="H117" s="88">
        <f>4556.43-3532.16+110.51</f>
        <v>1134.7800000000004</v>
      </c>
    </row>
    <row r="118" spans="2:8" x14ac:dyDescent="0.25">
      <c r="B118" s="11" t="s">
        <v>103</v>
      </c>
      <c r="C118" s="90"/>
      <c r="D118" s="42"/>
      <c r="E118" s="4"/>
      <c r="F118" s="90">
        <f>SUM(F112:F117)</f>
        <v>814320.4600000002</v>
      </c>
      <c r="G118" s="90">
        <f>SUM(G112:G117)</f>
        <v>694782.57000000007</v>
      </c>
      <c r="H118" s="90">
        <f>SUM(H112:H117)</f>
        <v>262503.16000000003</v>
      </c>
    </row>
    <row r="119" spans="2:8" x14ac:dyDescent="0.25">
      <c r="B119" s="16"/>
      <c r="C119" s="16"/>
      <c r="D119" s="16"/>
      <c r="E119" s="17"/>
      <c r="F119" s="17"/>
      <c r="G119" s="17"/>
      <c r="H119" s="17"/>
    </row>
    <row r="120" spans="2:8" x14ac:dyDescent="0.25">
      <c r="B120" s="16"/>
      <c r="C120" s="16" t="s">
        <v>244</v>
      </c>
      <c r="D120" s="16"/>
      <c r="E120" s="17"/>
      <c r="F120" s="17"/>
      <c r="G120" s="17"/>
      <c r="H120" s="17"/>
    </row>
    <row r="121" spans="2:8" x14ac:dyDescent="0.25">
      <c r="B121" s="137" t="s">
        <v>228</v>
      </c>
      <c r="C121" s="137" t="s">
        <v>229</v>
      </c>
      <c r="D121" s="137"/>
      <c r="E121" s="131" t="s">
        <v>230</v>
      </c>
      <c r="F121" s="17"/>
      <c r="G121" s="17"/>
      <c r="H121" s="17"/>
    </row>
    <row r="122" spans="2:8" x14ac:dyDescent="0.25">
      <c r="B122" s="133" t="s">
        <v>231</v>
      </c>
      <c r="C122" s="199">
        <v>8</v>
      </c>
      <c r="D122" s="200"/>
      <c r="E122" s="105">
        <v>100</v>
      </c>
      <c r="F122" s="17"/>
      <c r="G122" s="17"/>
      <c r="H122" s="17"/>
    </row>
    <row r="123" spans="2:8" x14ac:dyDescent="0.25">
      <c r="B123" s="133" t="s">
        <v>232</v>
      </c>
      <c r="C123" s="199">
        <v>18</v>
      </c>
      <c r="D123" s="200"/>
      <c r="E123" s="105">
        <v>100</v>
      </c>
      <c r="F123" s="17"/>
      <c r="G123" s="17"/>
      <c r="H123" s="17"/>
    </row>
    <row r="124" spans="2:8" x14ac:dyDescent="0.25">
      <c r="B124" s="133" t="s">
        <v>233</v>
      </c>
      <c r="C124" s="199"/>
      <c r="D124" s="200"/>
      <c r="E124" s="105"/>
      <c r="F124" s="17"/>
      <c r="G124" s="17"/>
      <c r="H124" s="17"/>
    </row>
    <row r="125" spans="2:8" x14ac:dyDescent="0.25">
      <c r="B125" s="133" t="s">
        <v>234</v>
      </c>
      <c r="C125" s="199">
        <v>2</v>
      </c>
      <c r="D125" s="200"/>
      <c r="E125" s="105">
        <v>100</v>
      </c>
      <c r="F125" s="17"/>
      <c r="G125" s="17"/>
      <c r="H125" s="17"/>
    </row>
    <row r="126" spans="2:8" x14ac:dyDescent="0.25">
      <c r="B126" s="133" t="s">
        <v>235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236</v>
      </c>
      <c r="C127" s="199"/>
      <c r="D127" s="200"/>
      <c r="E127" s="105"/>
      <c r="F127" s="17"/>
      <c r="G127" s="17"/>
      <c r="H127" s="17"/>
    </row>
    <row r="128" spans="2:8" x14ac:dyDescent="0.25">
      <c r="B128" s="133" t="s">
        <v>70</v>
      </c>
      <c r="C128" s="199">
        <v>2</v>
      </c>
      <c r="D128" s="200"/>
      <c r="E128" s="105">
        <v>100</v>
      </c>
      <c r="F128" s="17"/>
      <c r="G128" s="17"/>
      <c r="H128" s="17"/>
    </row>
    <row r="129" spans="2:8" x14ac:dyDescent="0.25">
      <c r="B129" s="133" t="s">
        <v>237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238</v>
      </c>
      <c r="C130" s="199">
        <v>1</v>
      </c>
      <c r="D130" s="200"/>
      <c r="E130" s="105">
        <v>100</v>
      </c>
      <c r="F130" s="17"/>
      <c r="G130" s="17"/>
      <c r="H130" s="17"/>
    </row>
    <row r="131" spans="2:8" x14ac:dyDescent="0.25">
      <c r="B131" s="133" t="s">
        <v>239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240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241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242</v>
      </c>
      <c r="C134" s="199"/>
      <c r="D134" s="200"/>
      <c r="E134" s="129"/>
      <c r="F134" s="17"/>
      <c r="G134" s="17"/>
      <c r="H134" s="17"/>
    </row>
    <row r="135" spans="2:8" x14ac:dyDescent="0.25">
      <c r="B135" s="133" t="s">
        <v>243</v>
      </c>
      <c r="C135" s="199"/>
      <c r="D135" s="200"/>
      <c r="E135" s="129"/>
      <c r="F135" s="17"/>
      <c r="G135" s="17"/>
      <c r="H135" s="17"/>
    </row>
    <row r="136" spans="2:8" x14ac:dyDescent="0.25">
      <c r="B136" s="139" t="s">
        <v>103</v>
      </c>
      <c r="C136" s="245">
        <f>SUM(C122:C135)</f>
        <v>31</v>
      </c>
      <c r="D136" s="246"/>
      <c r="E136" s="145">
        <v>100</v>
      </c>
      <c r="F136" s="9"/>
      <c r="G136" s="9"/>
      <c r="H136" s="17"/>
    </row>
    <row r="137" spans="2:8" x14ac:dyDescent="0.25">
      <c r="B137" s="12"/>
      <c r="C137" s="12"/>
      <c r="D137" s="9"/>
      <c r="E137" s="9"/>
      <c r="F137" s="9"/>
      <c r="G137" s="9"/>
    </row>
    <row r="138" spans="2:8" ht="44.25" customHeight="1" x14ac:dyDescent="0.25">
      <c r="B138" s="33"/>
      <c r="C138" s="136" t="s">
        <v>30</v>
      </c>
      <c r="D138" s="136" t="s">
        <v>31</v>
      </c>
      <c r="E138" s="135" t="s">
        <v>104</v>
      </c>
      <c r="F138" s="135" t="s">
        <v>32</v>
      </c>
    </row>
    <row r="139" spans="2:8" x14ac:dyDescent="0.25">
      <c r="B139" s="32" t="s">
        <v>105</v>
      </c>
      <c r="C139" s="132">
        <f>80462-18</f>
        <v>80444</v>
      </c>
      <c r="D139" s="132">
        <f>84410.81+8.94</f>
        <v>84419.75</v>
      </c>
      <c r="E139" s="132"/>
      <c r="F139" s="134">
        <f>29362.85-20111</f>
        <v>9251.8499999999985</v>
      </c>
    </row>
    <row r="140" spans="2:8" x14ac:dyDescent="0.25">
      <c r="B140" s="32" t="s">
        <v>106</v>
      </c>
      <c r="C140" s="132">
        <v>3890.08</v>
      </c>
      <c r="D140" s="132">
        <f>21.3+4159.14</f>
        <v>4180.4400000000005</v>
      </c>
      <c r="E140" s="132"/>
      <c r="F140" s="134">
        <f>990.88+6566.27-972.52</f>
        <v>6584.630000000001</v>
      </c>
    </row>
    <row r="141" spans="2:8" ht="28.5" x14ac:dyDescent="0.25">
      <c r="B141" s="33" t="s">
        <v>178</v>
      </c>
      <c r="C141" s="136">
        <f>SUM(C139:C140)</f>
        <v>84334.080000000002</v>
      </c>
      <c r="D141" s="136">
        <f>SUM(D139:D140)</f>
        <v>88600.19</v>
      </c>
      <c r="E141" s="136"/>
      <c r="F141" s="136">
        <f>SUM(F139:F140)</f>
        <v>15836.48</v>
      </c>
    </row>
    <row r="143" spans="2:8" x14ac:dyDescent="0.25">
      <c r="B143" s="177" t="s">
        <v>108</v>
      </c>
      <c r="C143" s="178"/>
      <c r="D143" s="179"/>
      <c r="E143" s="251">
        <f>G107</f>
        <v>374981.04000000004</v>
      </c>
      <c r="F143" s="252"/>
    </row>
    <row r="145" spans="2:6" x14ac:dyDescent="0.25">
      <c r="B145" s="177" t="s">
        <v>109</v>
      </c>
      <c r="C145" s="178"/>
      <c r="D145" s="179"/>
      <c r="E145" s="249"/>
      <c r="F145" s="250"/>
    </row>
    <row r="146" spans="2:6" x14ac:dyDescent="0.25">
      <c r="B146" s="181" t="s">
        <v>110</v>
      </c>
      <c r="C146" s="182"/>
      <c r="D146" s="183"/>
      <c r="E146" s="249"/>
      <c r="F146" s="250"/>
    </row>
    <row r="147" spans="2:6" x14ac:dyDescent="0.25">
      <c r="B147" s="181" t="s">
        <v>111</v>
      </c>
      <c r="C147" s="182"/>
      <c r="D147" s="183"/>
      <c r="E147" s="249"/>
      <c r="F147" s="250"/>
    </row>
    <row r="148" spans="2:6" x14ac:dyDescent="0.25">
      <c r="B148" s="181" t="s">
        <v>112</v>
      </c>
      <c r="C148" s="182"/>
      <c r="D148" s="183"/>
      <c r="E148" s="249"/>
      <c r="F148" s="250"/>
    </row>
    <row r="149" spans="2:6" x14ac:dyDescent="0.25">
      <c r="B149" s="181" t="s">
        <v>113</v>
      </c>
      <c r="C149" s="182"/>
      <c r="D149" s="183"/>
      <c r="E149" s="249"/>
      <c r="F149" s="250"/>
    </row>
    <row r="151" spans="2:6" x14ac:dyDescent="0.25">
      <c r="B151" s="177" t="s">
        <v>114</v>
      </c>
      <c r="C151" s="178"/>
      <c r="D151" s="179"/>
      <c r="E151" s="249"/>
      <c r="F151" s="250"/>
    </row>
    <row r="153" spans="2:6" ht="15" hidden="1" customHeight="1" x14ac:dyDescent="0.25">
      <c r="B153" s="181" t="s">
        <v>123</v>
      </c>
      <c r="C153" s="183"/>
      <c r="D153" s="132" t="s">
        <v>124</v>
      </c>
      <c r="E153" s="253" t="s">
        <v>122</v>
      </c>
      <c r="F153" s="254"/>
    </row>
    <row r="154" spans="2:6" hidden="1" x14ac:dyDescent="0.25">
      <c r="B154" s="181" t="s">
        <v>125</v>
      </c>
      <c r="C154" s="183"/>
      <c r="D154" s="88" t="s">
        <v>126</v>
      </c>
      <c r="E154" s="176" t="s">
        <v>122</v>
      </c>
      <c r="F154" s="176"/>
    </row>
    <row r="155" spans="2:6" ht="30" hidden="1" customHeight="1" x14ac:dyDescent="0.25">
      <c r="B155" s="174" t="s">
        <v>127</v>
      </c>
      <c r="C155" s="175"/>
      <c r="D155" s="88" t="s">
        <v>128</v>
      </c>
      <c r="E155" s="176" t="s">
        <v>122</v>
      </c>
      <c r="F155" s="176"/>
    </row>
    <row r="156" spans="2:6" ht="30" hidden="1" customHeight="1" x14ac:dyDescent="0.25">
      <c r="B156" s="174" t="s">
        <v>129</v>
      </c>
      <c r="C156" s="175"/>
      <c r="D156" s="88" t="s">
        <v>130</v>
      </c>
      <c r="E156" s="176"/>
      <c r="F156" s="176"/>
    </row>
    <row r="157" spans="2:6" ht="30" hidden="1" x14ac:dyDescent="0.25">
      <c r="B157" s="174" t="s">
        <v>131</v>
      </c>
      <c r="C157" s="175"/>
      <c r="D157" s="24" t="s">
        <v>132</v>
      </c>
      <c r="E157" s="176" t="s">
        <v>133</v>
      </c>
      <c r="F157" s="176"/>
    </row>
    <row r="158" spans="2:6" hidden="1" x14ac:dyDescent="0.25">
      <c r="B158" s="181" t="s">
        <v>134</v>
      </c>
      <c r="C158" s="183"/>
      <c r="D158" s="10" t="s">
        <v>135</v>
      </c>
      <c r="E158" s="176"/>
      <c r="F158" s="176"/>
    </row>
    <row r="159" spans="2:6" ht="30" hidden="1" customHeight="1" x14ac:dyDescent="0.25">
      <c r="B159" s="174" t="s">
        <v>136</v>
      </c>
      <c r="C159" s="175"/>
      <c r="D159" s="10" t="s">
        <v>137</v>
      </c>
      <c r="E159" s="176"/>
      <c r="F159" s="176"/>
    </row>
    <row r="160" spans="2:6" ht="30" hidden="1" customHeight="1" x14ac:dyDescent="0.25">
      <c r="B160" s="174" t="s">
        <v>138</v>
      </c>
      <c r="C160" s="175"/>
      <c r="D160" s="88" t="s">
        <v>139</v>
      </c>
      <c r="E160" s="176"/>
      <c r="F160" s="176"/>
    </row>
    <row r="161" spans="2:8" x14ac:dyDescent="0.25">
      <c r="B161" s="177" t="s">
        <v>74</v>
      </c>
      <c r="C161" s="178"/>
      <c r="D161" s="179"/>
      <c r="E161" s="180">
        <v>1520</v>
      </c>
      <c r="F161" s="180"/>
      <c r="G161" s="25"/>
      <c r="H161" s="25"/>
    </row>
    <row r="162" spans="2:8" x14ac:dyDescent="0.25">
      <c r="B162" s="181" t="s">
        <v>75</v>
      </c>
      <c r="C162" s="182"/>
      <c r="D162" s="183"/>
      <c r="E162" s="176"/>
      <c r="F162" s="176"/>
      <c r="G162" s="26"/>
      <c r="H162" s="26"/>
    </row>
    <row r="163" spans="2:8" x14ac:dyDescent="0.25">
      <c r="B163" s="181" t="s">
        <v>76</v>
      </c>
      <c r="C163" s="182"/>
      <c r="D163" s="183"/>
      <c r="E163" s="184">
        <v>320</v>
      </c>
      <c r="F163" s="184"/>
      <c r="G163" s="27"/>
      <c r="H163" s="27"/>
    </row>
    <row r="164" spans="2:8" x14ac:dyDescent="0.25">
      <c r="B164" s="181" t="s">
        <v>77</v>
      </c>
      <c r="C164" s="182"/>
      <c r="D164" s="183"/>
      <c r="E164" s="184"/>
      <c r="F164" s="184"/>
      <c r="G164" s="27"/>
      <c r="H164" s="27"/>
    </row>
    <row r="165" spans="2:8" x14ac:dyDescent="0.25">
      <c r="B165" s="177" t="s">
        <v>78</v>
      </c>
      <c r="C165" s="178"/>
      <c r="D165" s="179"/>
      <c r="E165" s="180"/>
      <c r="F165" s="180"/>
      <c r="G165" s="25"/>
      <c r="H165" s="25"/>
    </row>
    <row r="166" spans="2:8" x14ac:dyDescent="0.25">
      <c r="B166" s="181" t="s">
        <v>79</v>
      </c>
      <c r="C166" s="182"/>
      <c r="D166" s="183"/>
      <c r="E166" s="184"/>
      <c r="F166" s="184"/>
      <c r="G166" s="27"/>
      <c r="H166" s="27"/>
    </row>
    <row r="167" spans="2:8" x14ac:dyDescent="0.25">
      <c r="B167" s="177" t="s">
        <v>80</v>
      </c>
      <c r="C167" s="178"/>
      <c r="D167" s="179"/>
      <c r="E167" s="184"/>
      <c r="F167" s="184"/>
      <c r="G167" s="27"/>
      <c r="H167" s="27"/>
    </row>
    <row r="168" spans="2:8" x14ac:dyDescent="0.25">
      <c r="B168" s="16"/>
      <c r="C168" s="16"/>
      <c r="D168" s="16"/>
      <c r="E168" s="17"/>
      <c r="F168" s="17"/>
      <c r="G168" s="17"/>
      <c r="H168" s="17"/>
    </row>
    <row r="169" spans="2:8" ht="36" customHeight="1" x14ac:dyDescent="0.25">
      <c r="B169" s="185" t="s">
        <v>115</v>
      </c>
      <c r="C169" s="186"/>
      <c r="D169" s="186"/>
      <c r="E169" s="186"/>
      <c r="F169" s="21" t="s">
        <v>116</v>
      </c>
    </row>
    <row r="170" spans="2:8" ht="14.45" customHeight="1" x14ac:dyDescent="0.25">
      <c r="B170" s="187" t="s">
        <v>117</v>
      </c>
      <c r="C170" s="188" t="s">
        <v>118</v>
      </c>
      <c r="D170" s="190" t="s">
        <v>119</v>
      </c>
      <c r="E170" s="191"/>
      <c r="F170" s="4"/>
    </row>
    <row r="171" spans="2:8" x14ac:dyDescent="0.25">
      <c r="B171" s="187"/>
      <c r="C171" s="189"/>
      <c r="D171" s="83" t="s">
        <v>120</v>
      </c>
      <c r="E171" s="83" t="s">
        <v>121</v>
      </c>
      <c r="F171" s="4"/>
    </row>
    <row r="172" spans="2:8" x14ac:dyDescent="0.25">
      <c r="B172" s="115"/>
      <c r="C172" s="124"/>
      <c r="D172" s="115"/>
      <c r="E172" s="115"/>
      <c r="F172" s="4"/>
    </row>
    <row r="173" spans="2:8" x14ac:dyDescent="0.25">
      <c r="B173" s="115"/>
      <c r="C173" s="115"/>
      <c r="D173" s="115"/>
      <c r="E173" s="115"/>
      <c r="F173" s="4"/>
    </row>
    <row r="174" spans="2:8" x14ac:dyDescent="0.25">
      <c r="B174" s="120"/>
      <c r="C174" s="120"/>
      <c r="D174" s="121"/>
      <c r="E174" s="121"/>
      <c r="F174" s="121"/>
    </row>
    <row r="175" spans="2:8" x14ac:dyDescent="0.25">
      <c r="B175" s="120" t="s">
        <v>247</v>
      </c>
      <c r="C175" s="120"/>
      <c r="D175" s="121" t="s">
        <v>248</v>
      </c>
      <c r="E175" s="121"/>
      <c r="F175" s="121"/>
    </row>
  </sheetData>
  <mergeCells count="183">
    <mergeCell ref="B72:C72"/>
    <mergeCell ref="B73:C73"/>
    <mergeCell ref="B166:D166"/>
    <mergeCell ref="B160:C160"/>
    <mergeCell ref="B154:C154"/>
    <mergeCell ref="B146:D146"/>
    <mergeCell ref="B103:C103"/>
    <mergeCell ref="B104:C104"/>
    <mergeCell ref="B106:C106"/>
    <mergeCell ref="B107:C107"/>
    <mergeCell ref="B109:F109"/>
    <mergeCell ref="C110:D110"/>
    <mergeCell ref="E110:E111"/>
    <mergeCell ref="F110:F111"/>
    <mergeCell ref="B97:C97"/>
    <mergeCell ref="B98:C98"/>
    <mergeCell ref="B99:C99"/>
    <mergeCell ref="B100:C100"/>
    <mergeCell ref="E166:F166"/>
    <mergeCell ref="E160:F160"/>
    <mergeCell ref="B161:D161"/>
    <mergeCell ref="E161:F161"/>
    <mergeCell ref="B162:D162"/>
    <mergeCell ref="E162:F162"/>
    <mergeCell ref="B167:D167"/>
    <mergeCell ref="E167:F167"/>
    <mergeCell ref="B169:E169"/>
    <mergeCell ref="B170:B171"/>
    <mergeCell ref="C170:C171"/>
    <mergeCell ref="D170:E170"/>
    <mergeCell ref="B163:D163"/>
    <mergeCell ref="E163:F163"/>
    <mergeCell ref="B164:D164"/>
    <mergeCell ref="E164:F164"/>
    <mergeCell ref="B165:D165"/>
    <mergeCell ref="E165:F165"/>
    <mergeCell ref="B157:C157"/>
    <mergeCell ref="E157:F157"/>
    <mergeCell ref="B158:C158"/>
    <mergeCell ref="E158:F158"/>
    <mergeCell ref="B159:C159"/>
    <mergeCell ref="E159:F159"/>
    <mergeCell ref="E154:F154"/>
    <mergeCell ref="B155:C155"/>
    <mergeCell ref="E155:F155"/>
    <mergeCell ref="B156:C156"/>
    <mergeCell ref="E156:F156"/>
    <mergeCell ref="B149:D149"/>
    <mergeCell ref="E149:F149"/>
    <mergeCell ref="B151:D151"/>
    <mergeCell ref="E151:F151"/>
    <mergeCell ref="B153:C153"/>
    <mergeCell ref="E153:F153"/>
    <mergeCell ref="E146:F146"/>
    <mergeCell ref="B147:D147"/>
    <mergeCell ref="E147:F147"/>
    <mergeCell ref="B148:D148"/>
    <mergeCell ref="E148:F148"/>
    <mergeCell ref="G110:G111"/>
    <mergeCell ref="H110:H111"/>
    <mergeCell ref="B143:D143"/>
    <mergeCell ref="E143:F143"/>
    <mergeCell ref="B145:D145"/>
    <mergeCell ref="E145:F145"/>
    <mergeCell ref="C122:D122"/>
    <mergeCell ref="C123:D123"/>
    <mergeCell ref="C133:D133"/>
    <mergeCell ref="C134:D134"/>
    <mergeCell ref="C135:D135"/>
    <mergeCell ref="C136:D136"/>
    <mergeCell ref="C124:D124"/>
    <mergeCell ref="C125:D125"/>
    <mergeCell ref="C126:D126"/>
    <mergeCell ref="C127:D127"/>
    <mergeCell ref="C128:D128"/>
    <mergeCell ref="C129:D129"/>
    <mergeCell ref="B110:B111"/>
    <mergeCell ref="C130:D130"/>
    <mergeCell ref="C131:D131"/>
    <mergeCell ref="C132:D132"/>
    <mergeCell ref="B101:C101"/>
    <mergeCell ref="B102:C102"/>
    <mergeCell ref="B95:G95"/>
    <mergeCell ref="B96:C96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50:C50"/>
    <mergeCell ref="B51:C51"/>
    <mergeCell ref="B52:C52"/>
    <mergeCell ref="B53:C53"/>
    <mergeCell ref="B74:C74"/>
    <mergeCell ref="B75:C7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20:C21"/>
    <mergeCell ref="D20:D21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</mergeCells>
  <pageMargins left="0.11811023622047245" right="0.11811023622047245" top="0.15748031496062992" bottom="0.15748031496062992" header="0.31496062992125984" footer="0.31496062992125984"/>
  <pageSetup paperSize="9" scale="59" orientation="portrait" r:id="rId1"/>
  <headerFooter alignWithMargins="0"/>
  <rowBreaks count="2" manualBreakCount="2">
    <brk id="71" max="7" man="1"/>
    <brk id="11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6"/>
  <sheetViews>
    <sheetView view="pageBreakPreview" topLeftCell="A11" zoomScale="70" zoomScaleSheetLayoutView="70" workbookViewId="0">
      <selection activeCell="E25" sqref="E25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5.28515625" customWidth="1"/>
    <col min="5" max="5" width="17" customWidth="1"/>
    <col min="6" max="6" width="16" customWidth="1"/>
    <col min="7" max="7" width="15.42578125" customWidth="1"/>
    <col min="8" max="8" width="16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148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149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8277.2999999999993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7827.6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449.7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8277.2999999999993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144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170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12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420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40.25" x14ac:dyDescent="0.25">
      <c r="B21" s="230"/>
      <c r="C21" s="231"/>
      <c r="D21" s="232"/>
      <c r="E21" s="28" t="s">
        <v>20</v>
      </c>
      <c r="F21" s="28" t="s">
        <v>21</v>
      </c>
      <c r="G21" s="28" t="s">
        <v>19</v>
      </c>
      <c r="H21" s="31"/>
    </row>
    <row r="22" spans="1:8" x14ac:dyDescent="0.25">
      <c r="B22" s="223" t="s">
        <v>22</v>
      </c>
      <c r="C22" s="224"/>
      <c r="D22" s="7">
        <f>E22</f>
        <v>115315.13</v>
      </c>
      <c r="E22" s="7">
        <v>115315.13</v>
      </c>
      <c r="F22" s="7"/>
      <c r="G22" s="7"/>
      <c r="H22" s="2"/>
    </row>
    <row r="23" spans="1:8" x14ac:dyDescent="0.25">
      <c r="B23" s="223" t="s">
        <v>23</v>
      </c>
      <c r="C23" s="224"/>
      <c r="D23" s="7">
        <f>E23+F23+G23</f>
        <v>3082691.43</v>
      </c>
      <c r="E23" s="7">
        <f>E35+E31+E32+E33+E36+E37+D98+C140+C141</f>
        <v>1392139.13</v>
      </c>
      <c r="F23" s="44">
        <f>D99+D100+D101++D103+D104+D105</f>
        <v>158630.31999999998</v>
      </c>
      <c r="G23" s="44">
        <f>F113+F114+F115+F116+F117+F118</f>
        <v>1531921.9800000002</v>
      </c>
      <c r="H23" s="2"/>
    </row>
    <row r="24" spans="1:8" x14ac:dyDescent="0.25">
      <c r="B24" s="223" t="s">
        <v>24</v>
      </c>
      <c r="C24" s="224"/>
      <c r="D24" s="43">
        <f>E24+F24+G24</f>
        <v>3017404.21</v>
      </c>
      <c r="E24" s="45">
        <f>F38+E98+D140+D141</f>
        <v>1403152.9399999997</v>
      </c>
      <c r="F24" s="44">
        <f>E99+E100+E101+E103+E104+E105+E106</f>
        <v>185053.09</v>
      </c>
      <c r="G24" s="44">
        <f>G119</f>
        <v>1429198.1800000002</v>
      </c>
      <c r="H24" s="2"/>
    </row>
    <row r="25" spans="1:8" x14ac:dyDescent="0.25">
      <c r="B25" s="223" t="s">
        <v>25</v>
      </c>
      <c r="C25" s="224"/>
      <c r="D25" s="7">
        <f>E25+F25+G25</f>
        <v>2955330.58</v>
      </c>
      <c r="E25" s="44">
        <f>D142+1157389.8</f>
        <v>1341079.31</v>
      </c>
      <c r="F25" s="44">
        <f>F24</f>
        <v>185053.09</v>
      </c>
      <c r="G25" s="44">
        <f>G24</f>
        <v>1429198.1800000002</v>
      </c>
      <c r="H25" s="2"/>
    </row>
    <row r="26" spans="1:8" x14ac:dyDescent="0.25">
      <c r="B26" s="223" t="s">
        <v>253</v>
      </c>
      <c r="C26" s="224"/>
      <c r="D26" s="7">
        <f>E26+F26+G26</f>
        <v>562238.62000000011</v>
      </c>
      <c r="E26" s="45">
        <f>G38+G98+F142</f>
        <v>135278.91</v>
      </c>
      <c r="F26" s="45">
        <f>G107-G98</f>
        <v>32662.649999999987</v>
      </c>
      <c r="G26" s="45">
        <f>H119</f>
        <v>394297.06000000006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28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18" t="s">
        <v>30</v>
      </c>
      <c r="F30" s="30" t="s">
        <v>31</v>
      </c>
      <c r="G30" s="8" t="s">
        <v>32</v>
      </c>
      <c r="H30" s="9"/>
    </row>
    <row r="31" spans="1:8" x14ac:dyDescent="0.25">
      <c r="B31" s="174" t="s">
        <v>33</v>
      </c>
      <c r="C31" s="212"/>
      <c r="D31" s="175"/>
      <c r="E31" s="23">
        <v>154029.24</v>
      </c>
      <c r="F31" s="40">
        <v>156359.82999999999</v>
      </c>
      <c r="G31" s="23">
        <v>10997.51</v>
      </c>
      <c r="H31" s="5"/>
    </row>
    <row r="32" spans="1:8" x14ac:dyDescent="0.25">
      <c r="B32" s="174" t="s">
        <v>34</v>
      </c>
      <c r="C32" s="212"/>
      <c r="D32" s="175"/>
      <c r="E32" s="23">
        <v>188219.51999999999</v>
      </c>
      <c r="F32" s="40">
        <v>189949.04</v>
      </c>
      <c r="G32" s="23">
        <v>14976.449999999997</v>
      </c>
      <c r="H32" s="5"/>
    </row>
    <row r="33" spans="2:8" x14ac:dyDescent="0.25">
      <c r="B33" s="174" t="s">
        <v>35</v>
      </c>
      <c r="C33" s="212"/>
      <c r="D33" s="175"/>
      <c r="E33" s="23">
        <v>122117.74</v>
      </c>
      <c r="F33" s="40">
        <v>124463.85</v>
      </c>
      <c r="G33" s="23">
        <v>9032.25</v>
      </c>
      <c r="H33" s="5"/>
    </row>
    <row r="34" spans="2:8" hidden="1" x14ac:dyDescent="0.25">
      <c r="B34" s="174" t="s">
        <v>36</v>
      </c>
      <c r="C34" s="175"/>
      <c r="D34" s="29"/>
      <c r="E34" s="23"/>
      <c r="F34" s="40"/>
      <c r="G34" s="23"/>
      <c r="H34" s="5"/>
    </row>
    <row r="35" spans="2:8" x14ac:dyDescent="0.25">
      <c r="B35" s="174" t="s">
        <v>37</v>
      </c>
      <c r="C35" s="212"/>
      <c r="D35" s="175"/>
      <c r="E35" s="23">
        <v>259141.06</v>
      </c>
      <c r="F35" s="40">
        <v>259051.12</v>
      </c>
      <c r="G35" s="23">
        <v>22351.129999999997</v>
      </c>
      <c r="H35" s="5"/>
    </row>
    <row r="36" spans="2:8" x14ac:dyDescent="0.25">
      <c r="B36" s="174" t="s">
        <v>38</v>
      </c>
      <c r="C36" s="212"/>
      <c r="D36" s="175"/>
      <c r="E36" s="23">
        <v>209217.27</v>
      </c>
      <c r="F36" s="40">
        <f>209495.88+4291.96</f>
        <v>213787.84</v>
      </c>
      <c r="G36" s="23">
        <v>15893.689999999999</v>
      </c>
      <c r="H36" s="5"/>
    </row>
    <row r="37" spans="2:8" ht="30" customHeight="1" x14ac:dyDescent="0.25">
      <c r="B37" s="174" t="s">
        <v>39</v>
      </c>
      <c r="C37" s="212"/>
      <c r="D37" s="175"/>
      <c r="E37" s="23">
        <f>201998.07+8078.03</f>
        <v>210076.1</v>
      </c>
      <c r="F37" s="40">
        <f>13372.47+205455.4</f>
        <v>218827.87</v>
      </c>
      <c r="G37" s="23">
        <v>6397.18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1142800.9300000002</v>
      </c>
      <c r="F38" s="41">
        <f>SUM(F31:F37)</f>
        <v>1162439.5499999998</v>
      </c>
      <c r="G38" s="41">
        <f>SUM(G31:G37)</f>
        <v>79648.209999999992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464366.5</v>
      </c>
      <c r="G44" s="123"/>
      <c r="H44" s="123">
        <f t="shared" ref="H44" si="0">H45+H46+H47</f>
        <v>588951.04000000004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154029.24</v>
      </c>
      <c r="G45" s="112"/>
      <c r="H45" s="105">
        <f>227117.2-20824.93</f>
        <v>206292.27000000002</v>
      </c>
    </row>
    <row r="46" spans="2:8" x14ac:dyDescent="0.25">
      <c r="B46" s="210" t="s">
        <v>49</v>
      </c>
      <c r="C46" s="211"/>
      <c r="D46" s="23">
        <v>2014</v>
      </c>
      <c r="E46" s="10"/>
      <c r="F46" s="105">
        <f>E32</f>
        <v>188219.51999999999</v>
      </c>
      <c r="G46" s="112"/>
      <c r="H46" s="105">
        <f>238833-24136.99</f>
        <v>214696.01</v>
      </c>
    </row>
    <row r="47" spans="2:8" x14ac:dyDescent="0.25">
      <c r="B47" s="174" t="s">
        <v>35</v>
      </c>
      <c r="C47" s="175"/>
      <c r="D47" s="23">
        <v>2014</v>
      </c>
      <c r="E47" s="10"/>
      <c r="F47" s="105">
        <f>E33</f>
        <v>122117.74</v>
      </c>
      <c r="G47" s="112"/>
      <c r="H47" s="105">
        <f>184288.2-16325.44</f>
        <v>167962.76</v>
      </c>
    </row>
    <row r="48" spans="2:8" hidden="1" x14ac:dyDescent="0.25">
      <c r="B48" s="174" t="s">
        <v>36</v>
      </c>
      <c r="C48" s="175"/>
      <c r="D48" s="23"/>
      <c r="E48" s="10"/>
      <c r="F48" s="105"/>
      <c r="G48" s="112"/>
      <c r="H48" s="105"/>
    </row>
    <row r="49" spans="2:8" x14ac:dyDescent="0.25">
      <c r="B49" s="202" t="s">
        <v>65</v>
      </c>
      <c r="C49" s="203"/>
      <c r="D49" s="23"/>
      <c r="E49" s="10"/>
      <c r="F49" s="113"/>
      <c r="G49" s="112"/>
      <c r="H49" s="113"/>
    </row>
    <row r="50" spans="2:8" ht="30.75" customHeight="1" x14ac:dyDescent="0.25">
      <c r="B50" s="174" t="s">
        <v>66</v>
      </c>
      <c r="C50" s="175"/>
      <c r="D50" s="169" t="s">
        <v>266</v>
      </c>
      <c r="E50" s="169"/>
      <c r="F50" s="10"/>
      <c r="G50" s="16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519</v>
      </c>
      <c r="F51" s="151">
        <f>19900.49+1070+885</f>
        <v>21855.49</v>
      </c>
      <c r="G51" s="150" t="s">
        <v>519</v>
      </c>
      <c r="H51" s="151">
        <f>19900.49+1070+885</f>
        <v>21855.49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4026</v>
      </c>
      <c r="G52" s="169" t="s">
        <v>267</v>
      </c>
      <c r="H52" s="152">
        <v>5478.53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2178+7605.1</f>
        <v>9783.1</v>
      </c>
      <c r="G53" s="169" t="s">
        <v>267</v>
      </c>
      <c r="H53" s="152">
        <f>1887.75+7313.55</f>
        <v>9201.2999999999993</v>
      </c>
    </row>
    <row r="54" spans="2:8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x14ac:dyDescent="0.25">
      <c r="B60" s="208" t="s">
        <v>69</v>
      </c>
      <c r="C60" s="209"/>
      <c r="D60" s="108" t="s">
        <v>272</v>
      </c>
      <c r="E60" s="161"/>
      <c r="F60" s="152"/>
      <c r="G60" s="161"/>
      <c r="H60" s="152"/>
    </row>
    <row r="61" spans="2:8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x14ac:dyDescent="0.25">
      <c r="B64" s="208" t="s">
        <v>283</v>
      </c>
      <c r="C64" s="209"/>
      <c r="D64" s="150"/>
      <c r="E64" s="150"/>
      <c r="F64" s="151"/>
      <c r="G64" s="150"/>
      <c r="H64" s="151">
        <v>435.38</v>
      </c>
    </row>
    <row r="65" spans="2:8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8" ht="51.75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8" ht="45.7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8" ht="44.2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8" ht="82.5" customHeight="1" x14ac:dyDescent="0.25">
      <c r="B69" s="208" t="s">
        <v>54</v>
      </c>
      <c r="C69" s="209"/>
      <c r="D69" s="150" t="s">
        <v>266</v>
      </c>
      <c r="E69" s="150" t="s">
        <v>271</v>
      </c>
      <c r="F69" s="151">
        <v>14879.54</v>
      </c>
      <c r="G69" s="150" t="s">
        <v>271</v>
      </c>
      <c r="H69" s="151">
        <v>14333.81</v>
      </c>
    </row>
    <row r="70" spans="2:8" ht="16.5" customHeight="1" x14ac:dyDescent="0.25">
      <c r="B70" s="208" t="s">
        <v>55</v>
      </c>
      <c r="C70" s="209"/>
      <c r="D70" s="108" t="s">
        <v>266</v>
      </c>
      <c r="E70" s="108" t="s">
        <v>520</v>
      </c>
      <c r="F70" s="152">
        <v>1234</v>
      </c>
      <c r="G70" s="108" t="s">
        <v>521</v>
      </c>
      <c r="H70" s="152">
        <f>9261.1+24887.4</f>
        <v>34148.5</v>
      </c>
    </row>
    <row r="71" spans="2:8" x14ac:dyDescent="0.25">
      <c r="B71" s="208" t="s">
        <v>56</v>
      </c>
      <c r="C71" s="209"/>
      <c r="D71" s="108" t="s">
        <v>266</v>
      </c>
      <c r="E71" s="108" t="s">
        <v>271</v>
      </c>
      <c r="F71" s="152">
        <v>32510.46</v>
      </c>
      <c r="G71" s="108" t="s">
        <v>271</v>
      </c>
      <c r="H71" s="152">
        <v>32510.46</v>
      </c>
    </row>
    <row r="72" spans="2:8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</row>
    <row r="73" spans="2:8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8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8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8" ht="42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8" ht="42.75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8" ht="75" customHeight="1" x14ac:dyDescent="0.25">
      <c r="B78" s="208" t="s">
        <v>62</v>
      </c>
      <c r="C78" s="209"/>
      <c r="D78" s="150" t="s">
        <v>266</v>
      </c>
      <c r="E78" s="150" t="s">
        <v>271</v>
      </c>
      <c r="F78" s="151">
        <f>15931.63+11242.32+7815.52</f>
        <v>34989.47</v>
      </c>
      <c r="G78" s="150" t="s">
        <v>271</v>
      </c>
      <c r="H78" s="151">
        <f>16081.93+11257.35+7880.15</f>
        <v>35219.43</v>
      </c>
    </row>
    <row r="79" spans="2:8" x14ac:dyDescent="0.25">
      <c r="B79" s="208" t="s">
        <v>290</v>
      </c>
      <c r="C79" s="209"/>
      <c r="D79" s="108" t="s">
        <v>291</v>
      </c>
      <c r="E79" s="161" t="s">
        <v>522</v>
      </c>
      <c r="F79" s="152">
        <f>8352.3+3080+14789.36</f>
        <v>26221.66</v>
      </c>
      <c r="G79" s="108" t="s">
        <v>523</v>
      </c>
      <c r="H79" s="152">
        <f>8352.3+56478.8+1032.7+852.1+8092.8</f>
        <v>74808.700000000012</v>
      </c>
    </row>
    <row r="80" spans="2:8" x14ac:dyDescent="0.25">
      <c r="B80" s="208" t="s">
        <v>282</v>
      </c>
      <c r="C80" s="209"/>
      <c r="D80" s="108"/>
      <c r="E80" s="108"/>
      <c r="F80" s="154"/>
      <c r="G80" s="108"/>
      <c r="H80" s="152"/>
    </row>
    <row r="81" spans="2:11" ht="17.25" customHeight="1" x14ac:dyDescent="0.25">
      <c r="B81" s="243" t="s">
        <v>63</v>
      </c>
      <c r="C81" s="244"/>
      <c r="D81" s="153"/>
      <c r="E81" s="108" t="s">
        <v>271</v>
      </c>
      <c r="F81" s="152">
        <v>29422.9</v>
      </c>
      <c r="G81" s="108" t="s">
        <v>271</v>
      </c>
      <c r="H81" s="152">
        <v>29422.9</v>
      </c>
    </row>
    <row r="82" spans="2:11" ht="20.25" customHeight="1" x14ac:dyDescent="0.25">
      <c r="B82" s="243" t="s">
        <v>64</v>
      </c>
      <c r="C82" s="244"/>
      <c r="D82" s="108"/>
      <c r="E82" s="108" t="s">
        <v>271</v>
      </c>
      <c r="F82" s="152">
        <v>24949.53</v>
      </c>
      <c r="G82" s="108" t="s">
        <v>271</v>
      </c>
      <c r="H82" s="152">
        <v>24397.4</v>
      </c>
    </row>
    <row r="83" spans="2:11" ht="23.25" customHeight="1" x14ac:dyDescent="0.25">
      <c r="B83" s="243" t="s">
        <v>294</v>
      </c>
      <c r="C83" s="244"/>
      <c r="D83" s="108"/>
      <c r="E83" s="108"/>
      <c r="F83" s="162"/>
      <c r="G83" s="163"/>
      <c r="H83" s="162"/>
    </row>
    <row r="84" spans="2:11" ht="17.25" customHeight="1" x14ac:dyDescent="0.25">
      <c r="B84" s="208" t="s">
        <v>295</v>
      </c>
      <c r="C84" s="209"/>
      <c r="D84" s="153" t="s">
        <v>296</v>
      </c>
      <c r="E84" s="108"/>
      <c r="F84" s="152">
        <v>4809.55</v>
      </c>
      <c r="G84" s="108"/>
      <c r="H84" s="152">
        <v>6365.71</v>
      </c>
    </row>
    <row r="85" spans="2:11" x14ac:dyDescent="0.25">
      <c r="B85" s="208" t="s">
        <v>71</v>
      </c>
      <c r="C85" s="209"/>
      <c r="D85" s="153" t="s">
        <v>297</v>
      </c>
      <c r="E85" s="108" t="s">
        <v>298</v>
      </c>
      <c r="F85" s="152">
        <v>2820</v>
      </c>
      <c r="G85" s="108" t="s">
        <v>499</v>
      </c>
      <c r="H85" s="152">
        <v>5367.24</v>
      </c>
    </row>
    <row r="86" spans="2:11" x14ac:dyDescent="0.25">
      <c r="B86" s="208" t="s">
        <v>364</v>
      </c>
      <c r="C86" s="209"/>
      <c r="D86" s="153"/>
      <c r="E86" s="108"/>
      <c r="F86" s="152"/>
      <c r="G86" s="108" t="s">
        <v>298</v>
      </c>
      <c r="H86" s="152">
        <v>2100</v>
      </c>
    </row>
    <row r="87" spans="2:11" x14ac:dyDescent="0.25">
      <c r="B87" s="208" t="s">
        <v>72</v>
      </c>
      <c r="C87" s="209"/>
      <c r="D87" s="108" t="s">
        <v>299</v>
      </c>
      <c r="E87" s="108" t="s">
        <v>524</v>
      </c>
      <c r="F87" s="152">
        <v>3532.63</v>
      </c>
      <c r="G87" s="108" t="s">
        <v>524</v>
      </c>
      <c r="H87" s="152">
        <v>3532.63</v>
      </c>
    </row>
    <row r="88" spans="2:11" x14ac:dyDescent="0.25">
      <c r="B88" s="208" t="s">
        <v>301</v>
      </c>
      <c r="C88" s="209"/>
      <c r="D88" s="108" t="s">
        <v>291</v>
      </c>
      <c r="E88" s="108" t="s">
        <v>271</v>
      </c>
      <c r="F88" s="152">
        <v>27790.17</v>
      </c>
      <c r="G88" s="108" t="s">
        <v>271</v>
      </c>
      <c r="H88" s="161">
        <v>27790.17</v>
      </c>
      <c r="K88" s="5"/>
    </row>
    <row r="89" spans="2:11" x14ac:dyDescent="0.25">
      <c r="B89" s="208" t="s">
        <v>282</v>
      </c>
      <c r="C89" s="209"/>
      <c r="D89" s="108"/>
      <c r="E89" s="108"/>
      <c r="F89" s="154"/>
      <c r="G89" s="108"/>
      <c r="H89" s="154"/>
    </row>
    <row r="90" spans="2:11" x14ac:dyDescent="0.25">
      <c r="B90" s="208" t="s">
        <v>406</v>
      </c>
      <c r="C90" s="209"/>
      <c r="D90" s="108" t="s">
        <v>407</v>
      </c>
      <c r="E90" s="108"/>
      <c r="F90" s="152"/>
      <c r="G90" s="108"/>
      <c r="H90" s="152"/>
    </row>
    <row r="91" spans="2:11" ht="17.25" customHeight="1" x14ac:dyDescent="0.25">
      <c r="B91" s="208" t="s">
        <v>302</v>
      </c>
      <c r="C91" s="209"/>
      <c r="D91" s="108" t="s">
        <v>291</v>
      </c>
      <c r="E91" s="108" t="s">
        <v>525</v>
      </c>
      <c r="F91" s="152">
        <v>12324.47</v>
      </c>
      <c r="G91" s="108" t="s">
        <v>525</v>
      </c>
      <c r="H91" s="152">
        <v>10138.64</v>
      </c>
    </row>
    <row r="92" spans="2:11" ht="19.5" customHeight="1" x14ac:dyDescent="0.25">
      <c r="B92" s="208" t="s">
        <v>526</v>
      </c>
      <c r="C92" s="209"/>
      <c r="D92" s="108"/>
      <c r="E92" s="108" t="s">
        <v>454</v>
      </c>
      <c r="F92" s="152">
        <v>12000</v>
      </c>
      <c r="G92" s="108" t="s">
        <v>454</v>
      </c>
      <c r="H92" s="152">
        <v>12000</v>
      </c>
    </row>
    <row r="93" spans="2:11" ht="35.25" customHeight="1" x14ac:dyDescent="0.25">
      <c r="B93" s="208" t="s">
        <v>320</v>
      </c>
      <c r="C93" s="209"/>
      <c r="D93" s="108"/>
      <c r="E93" s="108"/>
      <c r="F93" s="152">
        <v>150546.59</v>
      </c>
      <c r="G93" s="108"/>
      <c r="H93" s="152">
        <v>150546.59</v>
      </c>
    </row>
    <row r="94" spans="2:11" x14ac:dyDescent="0.25">
      <c r="B94" s="206" t="s">
        <v>73</v>
      </c>
      <c r="C94" s="207"/>
      <c r="D94" s="108"/>
      <c r="E94" s="108"/>
      <c r="F94" s="165">
        <v>1069000</v>
      </c>
      <c r="G94" s="165"/>
      <c r="H94" s="165">
        <f>1157389.8-95521.9</f>
        <v>1061867.9000000001</v>
      </c>
    </row>
    <row r="95" spans="2:11" x14ac:dyDescent="0.25">
      <c r="B95" s="9"/>
      <c r="C95" s="9"/>
      <c r="D95" s="5"/>
      <c r="E95" s="5"/>
      <c r="F95" s="15"/>
      <c r="G95" s="5"/>
      <c r="H95" s="15"/>
    </row>
    <row r="96" spans="2:11" x14ac:dyDescent="0.25">
      <c r="B96" s="201" t="s">
        <v>81</v>
      </c>
      <c r="C96" s="201"/>
      <c r="D96" s="201"/>
      <c r="E96" s="201"/>
      <c r="F96" s="201"/>
      <c r="G96" s="201"/>
    </row>
    <row r="97" spans="2:8" ht="63" customHeight="1" x14ac:dyDescent="0.25">
      <c r="B97" s="194" t="s">
        <v>29</v>
      </c>
      <c r="C97" s="194"/>
      <c r="D97" s="18" t="s">
        <v>30</v>
      </c>
      <c r="E97" s="18" t="s">
        <v>31</v>
      </c>
      <c r="F97" s="8" t="s">
        <v>82</v>
      </c>
      <c r="G97" s="8" t="s">
        <v>32</v>
      </c>
    </row>
    <row r="98" spans="2:8" x14ac:dyDescent="0.25">
      <c r="B98" s="181" t="s">
        <v>83</v>
      </c>
      <c r="C98" s="183"/>
      <c r="D98" s="23">
        <v>85091.44</v>
      </c>
      <c r="E98" s="23">
        <v>57023.88</v>
      </c>
      <c r="F98" s="23">
        <f>E98</f>
        <v>57023.88</v>
      </c>
      <c r="G98" s="20">
        <v>18368.599999999999</v>
      </c>
    </row>
    <row r="99" spans="2:8" x14ac:dyDescent="0.25">
      <c r="B99" s="181" t="s">
        <v>84</v>
      </c>
      <c r="C99" s="183"/>
      <c r="D99" s="23">
        <f>43392.66-720.81+11752.53-224.76+13416.91-169.99+20662.38</f>
        <v>88108.92</v>
      </c>
      <c r="E99" s="23">
        <f>49806.69+13450.22+14250.05+21807.67</f>
        <v>99314.63</v>
      </c>
      <c r="F99" s="23">
        <f t="shared" ref="F99:F107" si="1">E99</f>
        <v>99314.63</v>
      </c>
      <c r="G99" s="20">
        <f>14536.1+1280.78</f>
        <v>15816.880000000001</v>
      </c>
    </row>
    <row r="100" spans="2:8" ht="30" customHeight="1" x14ac:dyDescent="0.25">
      <c r="B100" s="174" t="s">
        <v>85</v>
      </c>
      <c r="C100" s="175"/>
      <c r="D100" s="23">
        <v>29798.28</v>
      </c>
      <c r="E100" s="23">
        <v>33079.160000000003</v>
      </c>
      <c r="F100" s="23">
        <f t="shared" si="1"/>
        <v>33079.160000000003</v>
      </c>
      <c r="G100" s="20">
        <v>6270.8899999999994</v>
      </c>
    </row>
    <row r="101" spans="2:8" ht="30" customHeight="1" x14ac:dyDescent="0.25">
      <c r="B101" s="174" t="s">
        <v>86</v>
      </c>
      <c r="C101" s="175"/>
      <c r="D101" s="23">
        <f>7615.32+6.49</f>
        <v>7621.8099999999995</v>
      </c>
      <c r="E101" s="23">
        <v>8747.9</v>
      </c>
      <c r="F101" s="23">
        <f t="shared" si="1"/>
        <v>8747.9</v>
      </c>
      <c r="G101" s="20">
        <v>1113.2000000000003</v>
      </c>
    </row>
    <row r="102" spans="2:8" x14ac:dyDescent="0.25">
      <c r="B102" s="174" t="s">
        <v>87</v>
      </c>
      <c r="C102" s="175"/>
      <c r="D102" s="23"/>
      <c r="E102" s="23"/>
      <c r="F102" s="23">
        <f t="shared" si="1"/>
        <v>0</v>
      </c>
      <c r="G102" s="20"/>
    </row>
    <row r="103" spans="2:8" x14ac:dyDescent="0.25">
      <c r="B103" s="174" t="s">
        <v>88</v>
      </c>
      <c r="C103" s="175"/>
      <c r="D103" s="23">
        <f>5297.12+4.23</f>
        <v>5301.3499999999995</v>
      </c>
      <c r="E103" s="23">
        <v>6463.5</v>
      </c>
      <c r="F103" s="23">
        <f t="shared" si="1"/>
        <v>6463.5</v>
      </c>
      <c r="G103" s="20">
        <v>627.60000000000014</v>
      </c>
    </row>
    <row r="104" spans="2:8" x14ac:dyDescent="0.25">
      <c r="B104" s="174" t="s">
        <v>150</v>
      </c>
      <c r="C104" s="175"/>
      <c r="D104" s="23">
        <v>19250</v>
      </c>
      <c r="E104" s="23">
        <f>19920.84+921.63</f>
        <v>20842.47</v>
      </c>
      <c r="F104" s="23">
        <f t="shared" si="1"/>
        <v>20842.47</v>
      </c>
      <c r="G104" s="20">
        <v>4221.380000000001</v>
      </c>
    </row>
    <row r="105" spans="2:8" x14ac:dyDescent="0.25">
      <c r="B105" s="174" t="s">
        <v>89</v>
      </c>
      <c r="C105" s="175"/>
      <c r="D105" s="23">
        <f>8524.96+25</f>
        <v>8549.9599999999991</v>
      </c>
      <c r="E105" s="23">
        <v>9180.81</v>
      </c>
      <c r="F105" s="23">
        <f t="shared" si="1"/>
        <v>9180.81</v>
      </c>
      <c r="G105" s="20">
        <v>2623.75</v>
      </c>
    </row>
    <row r="106" spans="2:8" ht="30" x14ac:dyDescent="0.25">
      <c r="B106" s="37" t="s">
        <v>81</v>
      </c>
      <c r="C106" s="38"/>
      <c r="D106" s="23"/>
      <c r="E106" s="23">
        <f>7221.41+123.08+80.13</f>
        <v>7424.62</v>
      </c>
      <c r="F106" s="23">
        <f t="shared" si="1"/>
        <v>7424.62</v>
      </c>
      <c r="G106" s="20">
        <v>1988.9499999999998</v>
      </c>
    </row>
    <row r="107" spans="2:8" ht="18.75" customHeight="1" x14ac:dyDescent="0.25">
      <c r="B107" s="202" t="s">
        <v>90</v>
      </c>
      <c r="C107" s="203"/>
      <c r="D107" s="39">
        <f>SUM(D98:D105)</f>
        <v>243721.75999999998</v>
      </c>
      <c r="E107" s="39">
        <f>SUM(E98:E106)</f>
        <v>242076.97</v>
      </c>
      <c r="F107" s="23">
        <f t="shared" si="1"/>
        <v>242076.97</v>
      </c>
      <c r="G107" s="39">
        <f>SUM(G98:G106)</f>
        <v>51031.249999999985</v>
      </c>
    </row>
    <row r="108" spans="2:8" x14ac:dyDescent="0.25">
      <c r="B108" s="202" t="s">
        <v>91</v>
      </c>
      <c r="C108" s="203"/>
      <c r="D108" s="82">
        <f>F119+E38+D107+C142</f>
        <v>3082691.4299999997</v>
      </c>
      <c r="E108" s="82">
        <f>G119+F38+E107+D142</f>
        <v>3017404.21</v>
      </c>
      <c r="F108" s="82">
        <f>E108</f>
        <v>3017404.21</v>
      </c>
      <c r="G108" s="82">
        <f>H119+G107+G38+F142</f>
        <v>562238.62</v>
      </c>
    </row>
    <row r="109" spans="2:8" x14ac:dyDescent="0.25">
      <c r="B109" s="16"/>
      <c r="C109" s="16"/>
      <c r="D109" s="16"/>
      <c r="E109" s="17"/>
      <c r="F109" s="17"/>
      <c r="G109" s="17"/>
      <c r="H109" s="17"/>
    </row>
    <row r="110" spans="2:8" x14ac:dyDescent="0.25">
      <c r="B110" s="204" t="s">
        <v>92</v>
      </c>
      <c r="C110" s="201"/>
      <c r="D110" s="201"/>
      <c r="E110" s="201"/>
      <c r="F110" s="201"/>
    </row>
    <row r="111" spans="2:8" ht="38.25" customHeight="1" x14ac:dyDescent="0.25">
      <c r="B111" s="194" t="s">
        <v>29</v>
      </c>
      <c r="C111" s="194" t="s">
        <v>93</v>
      </c>
      <c r="D111" s="194"/>
      <c r="E111" s="255" t="s">
        <v>94</v>
      </c>
      <c r="F111" s="194" t="s">
        <v>30</v>
      </c>
      <c r="G111" s="194" t="s">
        <v>31</v>
      </c>
      <c r="H111" s="195" t="s">
        <v>95</v>
      </c>
    </row>
    <row r="112" spans="2:8" ht="35.25" customHeight="1" x14ac:dyDescent="0.25">
      <c r="B112" s="194"/>
      <c r="C112" s="18" t="s">
        <v>96</v>
      </c>
      <c r="D112" s="19" t="s">
        <v>97</v>
      </c>
      <c r="E112" s="255"/>
      <c r="F112" s="194"/>
      <c r="G112" s="194"/>
      <c r="H112" s="195"/>
    </row>
    <row r="113" spans="2:8" x14ac:dyDescent="0.25">
      <c r="B113" s="10" t="s">
        <v>98</v>
      </c>
      <c r="C113" s="23">
        <v>1400.08</v>
      </c>
      <c r="D113" s="42">
        <v>1439.26</v>
      </c>
      <c r="E113" s="110">
        <v>499.75</v>
      </c>
      <c r="F113" s="23">
        <f>-3266.41+719297.36+1932.71</f>
        <v>717963.65999999992</v>
      </c>
      <c r="G113" s="23">
        <f>2301.53+450204.15</f>
        <v>452505.68000000005</v>
      </c>
      <c r="H113" s="23">
        <v>120065.03999999998</v>
      </c>
    </row>
    <row r="114" spans="2:8" x14ac:dyDescent="0.25">
      <c r="B114" s="10" t="s">
        <v>147</v>
      </c>
      <c r="C114" s="23">
        <v>22.15</v>
      </c>
      <c r="D114" s="42">
        <v>26.44</v>
      </c>
      <c r="E114" s="110">
        <v>2869.09</v>
      </c>
      <c r="F114" s="23">
        <f>265177.66+26995.4+20003.99-12037.8+680.9-7609.33</f>
        <v>293210.82</v>
      </c>
      <c r="G114" s="23">
        <f>328444.09+47441.71-1033.94-6417.59</f>
        <v>368434.27</v>
      </c>
      <c r="H114" s="23">
        <v>111151.28000000001</v>
      </c>
    </row>
    <row r="115" spans="2:8" x14ac:dyDescent="0.25">
      <c r="B115" s="10" t="s">
        <v>99</v>
      </c>
      <c r="C115" s="23">
        <v>18.43</v>
      </c>
      <c r="D115" s="42">
        <v>19.22</v>
      </c>
      <c r="E115" s="110">
        <v>4544.91</v>
      </c>
      <c r="F115" s="23">
        <f>7643.53-1671.05+3787.39-2044.37+79652.69+2231.99+51363.53+4629.31</f>
        <v>145593.02000000002</v>
      </c>
      <c r="G115" s="23">
        <f>12234.39+8385.1+106176.1+58784.55</f>
        <v>185580.14</v>
      </c>
      <c r="H115" s="23">
        <v>50694.64</v>
      </c>
    </row>
    <row r="116" spans="2:8" x14ac:dyDescent="0.25">
      <c r="B116" s="10" t="s">
        <v>100</v>
      </c>
      <c r="C116" s="23">
        <v>12.31</v>
      </c>
      <c r="D116" s="42">
        <v>12.84</v>
      </c>
      <c r="E116" s="110">
        <v>7165.26</v>
      </c>
      <c r="F116" s="23">
        <f>87564.15+3735.91-185.72</f>
        <v>91114.34</v>
      </c>
      <c r="G116" s="23">
        <f>110966.05+98.76</f>
        <v>111064.81</v>
      </c>
      <c r="H116" s="23">
        <v>27701.9</v>
      </c>
    </row>
    <row r="117" spans="2:8" x14ac:dyDescent="0.25">
      <c r="B117" s="10" t="s">
        <v>101</v>
      </c>
      <c r="C117" s="23" t="s">
        <v>145</v>
      </c>
      <c r="D117" s="42" t="s">
        <v>146</v>
      </c>
      <c r="E117" s="110">
        <v>89169.49</v>
      </c>
      <c r="F117" s="23">
        <f>27429.49+2521.24+251058.29-26295.64</f>
        <v>254713.38</v>
      </c>
      <c r="G117" s="23">
        <f>22669.1+257006.13</f>
        <v>279675.23</v>
      </c>
      <c r="H117" s="23">
        <v>80164.369999999981</v>
      </c>
    </row>
    <row r="118" spans="2:8" x14ac:dyDescent="0.25">
      <c r="B118" s="10" t="s">
        <v>102</v>
      </c>
      <c r="C118" s="23">
        <v>2.2999999999999998</v>
      </c>
      <c r="D118" s="42">
        <v>2.39</v>
      </c>
      <c r="E118" s="110">
        <f t="shared" ref="E118" si="2">F118/D118</f>
        <v>12270.610878661088</v>
      </c>
      <c r="F118" s="23">
        <f>30777.29-1450.53</f>
        <v>29326.760000000002</v>
      </c>
      <c r="G118" s="23">
        <v>31938.05</v>
      </c>
      <c r="H118" s="23">
        <v>4519.83</v>
      </c>
    </row>
    <row r="119" spans="2:8" x14ac:dyDescent="0.25">
      <c r="B119" s="11" t="s">
        <v>103</v>
      </c>
      <c r="C119" s="39"/>
      <c r="D119" s="42"/>
      <c r="E119" s="4"/>
      <c r="F119" s="39">
        <f>SUM(F113:F118)</f>
        <v>1531921.9800000002</v>
      </c>
      <c r="G119" s="39">
        <f>SUM(G113:G118)</f>
        <v>1429198.1800000002</v>
      </c>
      <c r="H119" s="39">
        <f>SUM(H113:H118)</f>
        <v>394297.06000000006</v>
      </c>
    </row>
    <row r="120" spans="2:8" x14ac:dyDescent="0.25">
      <c r="B120" s="16"/>
      <c r="C120" s="16"/>
      <c r="D120" s="16"/>
      <c r="E120" s="17"/>
      <c r="F120" s="17"/>
      <c r="G120" s="17"/>
      <c r="H120" s="17"/>
    </row>
    <row r="121" spans="2:8" x14ac:dyDescent="0.25">
      <c r="B121" s="16"/>
      <c r="C121" s="16" t="s">
        <v>244</v>
      </c>
      <c r="D121" s="16"/>
      <c r="E121" s="17"/>
      <c r="F121" s="17"/>
      <c r="G121" s="17"/>
      <c r="H121" s="17"/>
    </row>
    <row r="122" spans="2:8" x14ac:dyDescent="0.25">
      <c r="B122" s="137" t="s">
        <v>228</v>
      </c>
      <c r="C122" s="137" t="s">
        <v>229</v>
      </c>
      <c r="D122" s="137"/>
      <c r="E122" s="131" t="s">
        <v>230</v>
      </c>
      <c r="F122" s="17"/>
      <c r="G122" s="17"/>
      <c r="H122" s="17"/>
    </row>
    <row r="123" spans="2:8" x14ac:dyDescent="0.25">
      <c r="B123" s="133" t="s">
        <v>231</v>
      </c>
      <c r="C123" s="199">
        <v>7</v>
      </c>
      <c r="D123" s="200"/>
      <c r="E123" s="105">
        <v>100</v>
      </c>
      <c r="F123" s="17"/>
      <c r="G123" s="17"/>
      <c r="H123" s="17"/>
    </row>
    <row r="124" spans="2:8" x14ac:dyDescent="0.25">
      <c r="B124" s="133" t="s">
        <v>232</v>
      </c>
      <c r="C124" s="199">
        <v>17</v>
      </c>
      <c r="D124" s="200"/>
      <c r="E124" s="105">
        <v>100</v>
      </c>
      <c r="F124" s="17"/>
      <c r="G124" s="17"/>
      <c r="H124" s="17"/>
    </row>
    <row r="125" spans="2:8" x14ac:dyDescent="0.25">
      <c r="B125" s="133" t="s">
        <v>233</v>
      </c>
      <c r="C125" s="199"/>
      <c r="D125" s="200"/>
      <c r="E125" s="105"/>
      <c r="F125" s="17"/>
      <c r="G125" s="17"/>
      <c r="H125" s="17"/>
    </row>
    <row r="126" spans="2:8" x14ac:dyDescent="0.25">
      <c r="B126" s="133" t="s">
        <v>234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235</v>
      </c>
      <c r="C127" s="199"/>
      <c r="D127" s="200"/>
      <c r="E127" s="129"/>
      <c r="F127" s="17"/>
      <c r="G127" s="17"/>
      <c r="H127" s="17"/>
    </row>
    <row r="128" spans="2:8" x14ac:dyDescent="0.25">
      <c r="B128" s="133" t="s">
        <v>236</v>
      </c>
      <c r="C128" s="199"/>
      <c r="D128" s="200"/>
      <c r="E128" s="129"/>
      <c r="F128" s="17"/>
      <c r="G128" s="17"/>
      <c r="H128" s="17"/>
    </row>
    <row r="129" spans="2:8" x14ac:dyDescent="0.25">
      <c r="B129" s="133" t="s">
        <v>70</v>
      </c>
      <c r="C129" s="199">
        <v>1</v>
      </c>
      <c r="D129" s="200"/>
      <c r="E129" s="105">
        <v>100</v>
      </c>
      <c r="F129" s="17"/>
      <c r="G129" s="17"/>
      <c r="H129" s="17"/>
    </row>
    <row r="130" spans="2:8" x14ac:dyDescent="0.25">
      <c r="B130" s="133" t="s">
        <v>237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238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239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240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241</v>
      </c>
      <c r="C134" s="199"/>
      <c r="D134" s="200"/>
      <c r="E134" s="105"/>
      <c r="F134" s="17"/>
      <c r="G134" s="17"/>
      <c r="H134" s="17"/>
    </row>
    <row r="135" spans="2:8" x14ac:dyDescent="0.25">
      <c r="B135" s="133" t="s">
        <v>242</v>
      </c>
      <c r="C135" s="199"/>
      <c r="D135" s="200"/>
      <c r="E135" s="105"/>
      <c r="F135" s="17"/>
      <c r="G135" s="17"/>
      <c r="H135" s="17"/>
    </row>
    <row r="136" spans="2:8" x14ac:dyDescent="0.25">
      <c r="B136" s="133" t="s">
        <v>243</v>
      </c>
      <c r="C136" s="199"/>
      <c r="D136" s="200"/>
      <c r="E136" s="105"/>
      <c r="F136" s="17"/>
      <c r="G136" s="17"/>
      <c r="H136" s="17"/>
    </row>
    <row r="137" spans="2:8" x14ac:dyDescent="0.25">
      <c r="B137" s="139" t="s">
        <v>103</v>
      </c>
      <c r="C137" s="245">
        <f>SUM(C123:C136)</f>
        <v>25</v>
      </c>
      <c r="D137" s="246"/>
      <c r="E137" s="123">
        <v>100</v>
      </c>
      <c r="F137" s="9"/>
      <c r="G137" s="9"/>
      <c r="H137" s="17"/>
    </row>
    <row r="138" spans="2:8" x14ac:dyDescent="0.25">
      <c r="B138" s="12"/>
      <c r="C138" s="12"/>
      <c r="D138" s="9"/>
      <c r="E138" s="9"/>
      <c r="F138" s="9"/>
      <c r="G138" s="9"/>
    </row>
    <row r="139" spans="2:8" ht="44.25" customHeight="1" x14ac:dyDescent="0.25">
      <c r="B139" s="33"/>
      <c r="C139" s="39" t="s">
        <v>30</v>
      </c>
      <c r="D139" s="39" t="s">
        <v>31</v>
      </c>
      <c r="E139" s="8" t="s">
        <v>104</v>
      </c>
      <c r="F139" s="8" t="s">
        <v>32</v>
      </c>
    </row>
    <row r="140" spans="2:8" x14ac:dyDescent="0.25">
      <c r="B140" s="32" t="s">
        <v>105</v>
      </c>
      <c r="C140" s="23">
        <f>155346+141</f>
        <v>155487</v>
      </c>
      <c r="D140" s="23">
        <f>171411.2+3087.46</f>
        <v>174498.66</v>
      </c>
      <c r="E140" s="10"/>
      <c r="F140" s="20">
        <v>29345.940000000002</v>
      </c>
    </row>
    <row r="141" spans="2:8" x14ac:dyDescent="0.25">
      <c r="B141" s="32" t="s">
        <v>106</v>
      </c>
      <c r="C141" s="23">
        <f>8759.76</f>
        <v>8759.76</v>
      </c>
      <c r="D141" s="23">
        <f>82.13+9108.72</f>
        <v>9190.8499999999985</v>
      </c>
      <c r="E141" s="10"/>
      <c r="F141" s="20">
        <v>7916.16</v>
      </c>
    </row>
    <row r="142" spans="2:8" x14ac:dyDescent="0.25">
      <c r="B142" s="33" t="s">
        <v>107</v>
      </c>
      <c r="C142" s="39">
        <f>SUM(C140:C141)</f>
        <v>164246.76</v>
      </c>
      <c r="D142" s="39">
        <f>SUM(D140:D141)</f>
        <v>183689.51</v>
      </c>
      <c r="E142" s="10"/>
      <c r="F142" s="39">
        <f>SUM(F140:F141)</f>
        <v>37262.100000000006</v>
      </c>
    </row>
    <row r="144" spans="2:8" x14ac:dyDescent="0.25">
      <c r="B144" s="177" t="s">
        <v>108</v>
      </c>
      <c r="C144" s="178"/>
      <c r="D144" s="179"/>
      <c r="E144" s="97">
        <f>H119+G107+G38+F142</f>
        <v>562238.62</v>
      </c>
      <c r="F144" s="111"/>
    </row>
    <row r="146" spans="2:6" x14ac:dyDescent="0.25">
      <c r="B146" s="198" t="s">
        <v>109</v>
      </c>
      <c r="C146" s="198"/>
      <c r="D146" s="198"/>
      <c r="E146" s="193"/>
      <c r="F146" s="193"/>
    </row>
    <row r="147" spans="2:6" x14ac:dyDescent="0.25">
      <c r="B147" s="192" t="s">
        <v>110</v>
      </c>
      <c r="C147" s="192"/>
      <c r="D147" s="192"/>
      <c r="E147" s="193"/>
      <c r="F147" s="193"/>
    </row>
    <row r="148" spans="2:6" x14ac:dyDescent="0.25">
      <c r="B148" s="192" t="s">
        <v>111</v>
      </c>
      <c r="C148" s="192"/>
      <c r="D148" s="192"/>
      <c r="E148" s="193"/>
      <c r="F148" s="193"/>
    </row>
    <row r="149" spans="2:6" x14ac:dyDescent="0.25">
      <c r="B149" s="192" t="s">
        <v>112</v>
      </c>
      <c r="C149" s="192"/>
      <c r="D149" s="192"/>
      <c r="E149" s="193"/>
      <c r="F149" s="193"/>
    </row>
    <row r="150" spans="2:6" x14ac:dyDescent="0.25">
      <c r="B150" s="192" t="s">
        <v>113</v>
      </c>
      <c r="C150" s="192"/>
      <c r="D150" s="192"/>
      <c r="E150" s="193"/>
      <c r="F150" s="193"/>
    </row>
    <row r="152" spans="2:6" x14ac:dyDescent="0.25">
      <c r="B152" s="177" t="s">
        <v>114</v>
      </c>
      <c r="C152" s="178"/>
      <c r="D152" s="179"/>
      <c r="E152" s="193"/>
      <c r="F152" s="193"/>
    </row>
    <row r="154" spans="2:6" hidden="1" x14ac:dyDescent="0.25">
      <c r="B154" s="181" t="s">
        <v>123</v>
      </c>
      <c r="C154" s="183"/>
      <c r="D154" s="23" t="s">
        <v>124</v>
      </c>
      <c r="E154" s="176" t="s">
        <v>122</v>
      </c>
      <c r="F154" s="176"/>
    </row>
    <row r="155" spans="2:6" hidden="1" x14ac:dyDescent="0.25">
      <c r="B155" s="181" t="s">
        <v>125</v>
      </c>
      <c r="C155" s="183"/>
      <c r="D155" s="23" t="s">
        <v>126</v>
      </c>
      <c r="E155" s="176" t="s">
        <v>122</v>
      </c>
      <c r="F155" s="176"/>
    </row>
    <row r="156" spans="2:6" ht="30" hidden="1" customHeight="1" x14ac:dyDescent="0.25">
      <c r="B156" s="174" t="s">
        <v>127</v>
      </c>
      <c r="C156" s="175"/>
      <c r="D156" s="23" t="s">
        <v>128</v>
      </c>
      <c r="E156" s="176" t="s">
        <v>122</v>
      </c>
      <c r="F156" s="176"/>
    </row>
    <row r="157" spans="2:6" ht="30" hidden="1" customHeight="1" x14ac:dyDescent="0.25">
      <c r="B157" s="174" t="s">
        <v>129</v>
      </c>
      <c r="C157" s="175"/>
      <c r="D157" s="23" t="s">
        <v>130</v>
      </c>
      <c r="E157" s="176"/>
      <c r="F157" s="176"/>
    </row>
    <row r="158" spans="2:6" ht="30" hidden="1" x14ac:dyDescent="0.25">
      <c r="B158" s="174" t="s">
        <v>131</v>
      </c>
      <c r="C158" s="175"/>
      <c r="D158" s="24" t="s">
        <v>132</v>
      </c>
      <c r="E158" s="176" t="s">
        <v>133</v>
      </c>
      <c r="F158" s="176"/>
    </row>
    <row r="159" spans="2:6" hidden="1" x14ac:dyDescent="0.25">
      <c r="B159" s="181" t="s">
        <v>134</v>
      </c>
      <c r="C159" s="183"/>
      <c r="D159" s="10" t="s">
        <v>135</v>
      </c>
      <c r="E159" s="176"/>
      <c r="F159" s="176"/>
    </row>
    <row r="160" spans="2:6" ht="30" hidden="1" customHeight="1" x14ac:dyDescent="0.25">
      <c r="B160" s="174" t="s">
        <v>136</v>
      </c>
      <c r="C160" s="175"/>
      <c r="D160" s="10" t="s">
        <v>137</v>
      </c>
      <c r="E160" s="176"/>
      <c r="F160" s="176"/>
    </row>
    <row r="161" spans="2:8" ht="30" hidden="1" customHeight="1" x14ac:dyDescent="0.25">
      <c r="B161" s="174" t="s">
        <v>138</v>
      </c>
      <c r="C161" s="175"/>
      <c r="D161" s="23" t="s">
        <v>139</v>
      </c>
      <c r="E161" s="176"/>
      <c r="F161" s="176"/>
    </row>
    <row r="162" spans="2:8" x14ac:dyDescent="0.25">
      <c r="B162" s="177" t="s">
        <v>74</v>
      </c>
      <c r="C162" s="178"/>
      <c r="D162" s="179"/>
      <c r="E162" s="180">
        <v>1200</v>
      </c>
      <c r="F162" s="180"/>
      <c r="G162" s="25"/>
      <c r="H162" s="25"/>
    </row>
    <row r="163" spans="2:8" x14ac:dyDescent="0.25">
      <c r="B163" s="181" t="s">
        <v>75</v>
      </c>
      <c r="C163" s="182"/>
      <c r="D163" s="183"/>
      <c r="E163" s="176"/>
      <c r="F163" s="176"/>
      <c r="G163" s="26"/>
      <c r="H163" s="26"/>
    </row>
    <row r="164" spans="2:8" x14ac:dyDescent="0.25">
      <c r="B164" s="181" t="s">
        <v>76</v>
      </c>
      <c r="C164" s="182"/>
      <c r="D164" s="183"/>
      <c r="E164" s="184"/>
      <c r="F164" s="184"/>
      <c r="G164" s="27"/>
      <c r="H164" s="27"/>
    </row>
    <row r="165" spans="2:8" x14ac:dyDescent="0.25">
      <c r="B165" s="181" t="s">
        <v>77</v>
      </c>
      <c r="C165" s="182"/>
      <c r="D165" s="183"/>
      <c r="E165" s="184"/>
      <c r="F165" s="184"/>
      <c r="G165" s="27"/>
      <c r="H165" s="27"/>
    </row>
    <row r="166" spans="2:8" x14ac:dyDescent="0.25">
      <c r="B166" s="177" t="s">
        <v>78</v>
      </c>
      <c r="C166" s="178"/>
      <c r="D166" s="179"/>
      <c r="E166" s="180"/>
      <c r="F166" s="180"/>
      <c r="G166" s="25"/>
      <c r="H166" s="25"/>
    </row>
    <row r="167" spans="2:8" x14ac:dyDescent="0.25">
      <c r="B167" s="181" t="s">
        <v>79</v>
      </c>
      <c r="C167" s="182"/>
      <c r="D167" s="183"/>
      <c r="E167" s="184">
        <v>5400</v>
      </c>
      <c r="F167" s="184"/>
      <c r="G167" s="27"/>
      <c r="H167" s="27"/>
    </row>
    <row r="168" spans="2:8" x14ac:dyDescent="0.25">
      <c r="B168" s="177" t="s">
        <v>80</v>
      </c>
      <c r="C168" s="178"/>
      <c r="D168" s="179"/>
      <c r="E168" s="184"/>
      <c r="F168" s="184"/>
      <c r="G168" s="27"/>
      <c r="H168" s="27"/>
    </row>
    <row r="169" spans="2:8" x14ac:dyDescent="0.25">
      <c r="B169" s="16"/>
      <c r="C169" s="16"/>
      <c r="D169" s="16"/>
      <c r="E169" s="17"/>
      <c r="F169" s="17"/>
      <c r="G169" s="17"/>
      <c r="H169" s="17"/>
    </row>
    <row r="170" spans="2:8" ht="36" customHeight="1" x14ac:dyDescent="0.25">
      <c r="B170" s="185" t="s">
        <v>115</v>
      </c>
      <c r="C170" s="186"/>
      <c r="D170" s="186"/>
      <c r="E170" s="186"/>
      <c r="F170" s="21" t="s">
        <v>116</v>
      </c>
    </row>
    <row r="171" spans="2:8" ht="14.45" customHeight="1" x14ac:dyDescent="0.25">
      <c r="B171" s="187" t="s">
        <v>117</v>
      </c>
      <c r="C171" s="188" t="s">
        <v>118</v>
      </c>
      <c r="D171" s="190" t="s">
        <v>119</v>
      </c>
      <c r="E171" s="191"/>
      <c r="F171" s="4"/>
    </row>
    <row r="172" spans="2:8" x14ac:dyDescent="0.25">
      <c r="B172" s="187"/>
      <c r="C172" s="189"/>
      <c r="D172" s="22" t="s">
        <v>120</v>
      </c>
      <c r="E172" s="22" t="s">
        <v>121</v>
      </c>
      <c r="F172" s="4"/>
    </row>
    <row r="173" spans="2:8" x14ac:dyDescent="0.25">
      <c r="B173" s="115"/>
      <c r="C173" s="124"/>
      <c r="D173" s="115"/>
      <c r="E173" s="115"/>
      <c r="F173" s="4"/>
    </row>
    <row r="174" spans="2:8" x14ac:dyDescent="0.25">
      <c r="B174" s="115"/>
      <c r="C174" s="115"/>
      <c r="D174" s="115"/>
      <c r="E174" s="115"/>
      <c r="F174" s="4"/>
    </row>
    <row r="175" spans="2:8" x14ac:dyDescent="0.25">
      <c r="B175" s="120"/>
      <c r="C175" s="120"/>
      <c r="D175" s="121"/>
      <c r="E175" s="121"/>
      <c r="F175" s="121"/>
    </row>
    <row r="176" spans="2:8" x14ac:dyDescent="0.25">
      <c r="B176" s="120" t="s">
        <v>247</v>
      </c>
      <c r="C176" s="120"/>
      <c r="D176" s="121"/>
      <c r="E176" s="121" t="s">
        <v>248</v>
      </c>
      <c r="F176" s="121"/>
    </row>
  </sheetData>
  <mergeCells count="183">
    <mergeCell ref="B63:C63"/>
    <mergeCell ref="B64:C64"/>
    <mergeCell ref="B65:C65"/>
    <mergeCell ref="B66:C66"/>
    <mergeCell ref="B67:C67"/>
    <mergeCell ref="B68:C68"/>
    <mergeCell ref="B69:C69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167:D167"/>
    <mergeCell ref="E167:F167"/>
    <mergeCell ref="B168:D168"/>
    <mergeCell ref="E168:F168"/>
    <mergeCell ref="B170:E170"/>
    <mergeCell ref="B171:B172"/>
    <mergeCell ref="C171:C172"/>
    <mergeCell ref="D171:E171"/>
    <mergeCell ref="B159:C159"/>
    <mergeCell ref="E159:F159"/>
    <mergeCell ref="B166:D166"/>
    <mergeCell ref="E166:F166"/>
    <mergeCell ref="B163:D163"/>
    <mergeCell ref="E163:F163"/>
    <mergeCell ref="B164:D164"/>
    <mergeCell ref="E164:F164"/>
    <mergeCell ref="B165:D165"/>
    <mergeCell ref="E165:F165"/>
    <mergeCell ref="B162:D162"/>
    <mergeCell ref="E162:F162"/>
    <mergeCell ref="B157:C157"/>
    <mergeCell ref="E157:F157"/>
    <mergeCell ref="B160:C160"/>
    <mergeCell ref="E160:F160"/>
    <mergeCell ref="B161:C161"/>
    <mergeCell ref="E161:F161"/>
    <mergeCell ref="B158:C158"/>
    <mergeCell ref="E158:F158"/>
    <mergeCell ref="B149:D149"/>
    <mergeCell ref="E149:F149"/>
    <mergeCell ref="B150:D150"/>
    <mergeCell ref="E150:F150"/>
    <mergeCell ref="B152:D152"/>
    <mergeCell ref="E152:F152"/>
    <mergeCell ref="G111:G112"/>
    <mergeCell ref="H111:H112"/>
    <mergeCell ref="B144:D144"/>
    <mergeCell ref="B146:D146"/>
    <mergeCell ref="E146:F146"/>
    <mergeCell ref="B155:C155"/>
    <mergeCell ref="E155:F155"/>
    <mergeCell ref="B156:C156"/>
    <mergeCell ref="E156:F156"/>
    <mergeCell ref="B154:C154"/>
    <mergeCell ref="E154:F154"/>
    <mergeCell ref="F111:F112"/>
    <mergeCell ref="B148:D148"/>
    <mergeCell ref="E148:F148"/>
    <mergeCell ref="C131:D131"/>
    <mergeCell ref="C132:D132"/>
    <mergeCell ref="C133:D133"/>
    <mergeCell ref="C134:D134"/>
    <mergeCell ref="C135:D135"/>
    <mergeCell ref="C136:D136"/>
    <mergeCell ref="C137:D137"/>
    <mergeCell ref="B102:C102"/>
    <mergeCell ref="B103:C103"/>
    <mergeCell ref="B147:D147"/>
    <mergeCell ref="E147:F147"/>
    <mergeCell ref="B104:C104"/>
    <mergeCell ref="B105:C105"/>
    <mergeCell ref="B107:C107"/>
    <mergeCell ref="B108:C108"/>
    <mergeCell ref="B98:C98"/>
    <mergeCell ref="B99:C99"/>
    <mergeCell ref="B100:C100"/>
    <mergeCell ref="B101:C101"/>
    <mergeCell ref="B110:F110"/>
    <mergeCell ref="B111:B112"/>
    <mergeCell ref="C111:D111"/>
    <mergeCell ref="E111:E11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B96:G96"/>
    <mergeCell ref="B97:C97"/>
    <mergeCell ref="B92:C92"/>
    <mergeCell ref="B93:C93"/>
    <mergeCell ref="B94:C94"/>
    <mergeCell ref="B88:C88"/>
    <mergeCell ref="B89:C89"/>
    <mergeCell ref="B90:C90"/>
    <mergeCell ref="B91:C91"/>
    <mergeCell ref="B77:C77"/>
    <mergeCell ref="B78:C78"/>
    <mergeCell ref="B84:C84"/>
    <mergeCell ref="B85:C85"/>
    <mergeCell ref="B86:C86"/>
    <mergeCell ref="B87:C87"/>
    <mergeCell ref="B83:C83"/>
    <mergeCell ref="B72:C72"/>
    <mergeCell ref="B73:C73"/>
    <mergeCell ref="B74:C74"/>
    <mergeCell ref="B79:C79"/>
    <mergeCell ref="B80:C80"/>
    <mergeCell ref="B81:C81"/>
    <mergeCell ref="B82:C82"/>
    <mergeCell ref="B75:C75"/>
    <mergeCell ref="B76:C76"/>
    <mergeCell ref="B50:C50"/>
    <mergeCell ref="B51:C51"/>
    <mergeCell ref="B52:C52"/>
    <mergeCell ref="B29:G29"/>
    <mergeCell ref="B30:D30"/>
    <mergeCell ref="B31:D31"/>
    <mergeCell ref="B70:C70"/>
    <mergeCell ref="B71:C71"/>
    <mergeCell ref="B37:D37"/>
    <mergeCell ref="B38:D38"/>
    <mergeCell ref="B40:H40"/>
    <mergeCell ref="B41:C43"/>
    <mergeCell ref="D41:D43"/>
    <mergeCell ref="B53:C53"/>
    <mergeCell ref="B48:C48"/>
    <mergeCell ref="B49:C49"/>
    <mergeCell ref="B44:C44"/>
    <mergeCell ref="B45:C45"/>
    <mergeCell ref="B46:C46"/>
    <mergeCell ref="B47:C47"/>
    <mergeCell ref="E41:E43"/>
    <mergeCell ref="F41:F43"/>
    <mergeCell ref="H41:H43"/>
    <mergeCell ref="B35:D35"/>
    <mergeCell ref="B36:D36"/>
    <mergeCell ref="B24:C24"/>
    <mergeCell ref="B25:C25"/>
    <mergeCell ref="B26:C26"/>
    <mergeCell ref="B28:G28"/>
    <mergeCell ref="B33:D33"/>
    <mergeCell ref="B34:C34"/>
    <mergeCell ref="G41:G43"/>
    <mergeCell ref="B15:D15"/>
    <mergeCell ref="E15:G15"/>
    <mergeCell ref="B16:D16"/>
    <mergeCell ref="E16:G16"/>
    <mergeCell ref="B32:D32"/>
    <mergeCell ref="B19:G19"/>
    <mergeCell ref="B17:D17"/>
    <mergeCell ref="E17:G17"/>
    <mergeCell ref="B22:C22"/>
    <mergeCell ref="B23:C23"/>
    <mergeCell ref="B12:D12"/>
    <mergeCell ref="E12:G12"/>
    <mergeCell ref="B13:D13"/>
    <mergeCell ref="E13:G13"/>
    <mergeCell ref="B14:D14"/>
    <mergeCell ref="E14:G14"/>
    <mergeCell ref="B20:C21"/>
    <mergeCell ref="D20:D21"/>
    <mergeCell ref="E20:G20"/>
    <mergeCell ref="B11:D11"/>
    <mergeCell ref="E11:G11"/>
    <mergeCell ref="A6:G6"/>
    <mergeCell ref="B8:D8"/>
    <mergeCell ref="E8:G8"/>
    <mergeCell ref="B9:D9"/>
    <mergeCell ref="E9:G9"/>
    <mergeCell ref="B2:H2"/>
    <mergeCell ref="A3:H3"/>
    <mergeCell ref="A5:G5"/>
    <mergeCell ref="B10:D10"/>
    <mergeCell ref="E10:G10"/>
  </mergeCells>
  <phoneticPr fontId="11" type="noConversion"/>
  <pageMargins left="0.11811023622047245" right="0.11811023622047245" top="0.15748031496062992" bottom="0.15748031496062992" header="0.31496062992125984" footer="0.31496062992125984"/>
  <pageSetup paperSize="9" scale="58" orientation="portrait" r:id="rId1"/>
  <rowBreaks count="2" manualBreakCount="2">
    <brk id="71" max="7" man="1"/>
    <brk id="11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3"/>
  <sheetViews>
    <sheetView view="pageBreakPreview" zoomScale="70" zoomScaleSheetLayoutView="70" workbookViewId="0">
      <selection activeCell="G27" sqref="G27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5.710937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164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165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20501.5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19620.400000000001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881.1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20501.5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166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347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10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874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69" t="s">
        <v>20</v>
      </c>
      <c r="F21" s="69" t="s">
        <v>21</v>
      </c>
      <c r="G21" s="69" t="s">
        <v>19</v>
      </c>
      <c r="H21" s="31"/>
    </row>
    <row r="22" spans="1:8" x14ac:dyDescent="0.25">
      <c r="B22" s="223" t="s">
        <v>22</v>
      </c>
      <c r="C22" s="224"/>
      <c r="D22" s="7">
        <f>E22</f>
        <v>163647.63</v>
      </c>
      <c r="E22" s="7">
        <v>163647.63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7463422.8000000007</v>
      </c>
      <c r="E23" s="45">
        <f>E38+D95+C139</f>
        <v>3412346.4000000004</v>
      </c>
      <c r="F23" s="7">
        <f>D96+D97+D98+D99+D100+D101+D102+D103</f>
        <v>639428.2100000002</v>
      </c>
      <c r="G23" s="7">
        <f>F110+F111+F112+F113+F114+F115</f>
        <v>3411648.1900000004</v>
      </c>
      <c r="H23" s="2"/>
    </row>
    <row r="24" spans="1:8" x14ac:dyDescent="0.25">
      <c r="B24" s="223" t="s">
        <v>24</v>
      </c>
      <c r="C24" s="224"/>
      <c r="D24" s="43">
        <f>E24+F24+G24</f>
        <v>6736713.8099999996</v>
      </c>
      <c r="E24" s="45">
        <f>F38+E95+D137+D138</f>
        <v>3275170.25</v>
      </c>
      <c r="F24" s="7">
        <f>E96+E97+E99+E100+E103+E98+E101+E102</f>
        <v>651638.09000000008</v>
      </c>
      <c r="G24" s="7">
        <f>G116</f>
        <v>2809905.4699999997</v>
      </c>
      <c r="H24" s="2"/>
    </row>
    <row r="25" spans="1:8" x14ac:dyDescent="0.25">
      <c r="B25" s="223" t="s">
        <v>25</v>
      </c>
      <c r="C25" s="224"/>
      <c r="D25" s="7">
        <f>E25+F25+G25</f>
        <v>6475907.6499999994</v>
      </c>
      <c r="E25" s="7">
        <f>D139+2612647.8</f>
        <v>3014364.09</v>
      </c>
      <c r="F25" s="7">
        <f>F24</f>
        <v>651638.09000000008</v>
      </c>
      <c r="G25" s="7">
        <f>G24</f>
        <v>2809905.4699999997</v>
      </c>
      <c r="H25" s="2"/>
    </row>
    <row r="26" spans="1:8" x14ac:dyDescent="0.25">
      <c r="B26" s="223" t="s">
        <v>252</v>
      </c>
      <c r="C26" s="224"/>
      <c r="D26" s="7">
        <f>E26+F26+G26</f>
        <v>1199929.8400000001</v>
      </c>
      <c r="E26" s="45">
        <f>G38+G95+F139</f>
        <v>317295.36999999994</v>
      </c>
      <c r="F26" s="45">
        <f>G104-G95</f>
        <v>122078.42000000004</v>
      </c>
      <c r="G26" s="45">
        <f>H116</f>
        <v>760556.05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66" t="s">
        <v>30</v>
      </c>
      <c r="F30" s="68" t="s">
        <v>31</v>
      </c>
      <c r="G30" s="64" t="s">
        <v>32</v>
      </c>
      <c r="H30" s="9"/>
    </row>
    <row r="31" spans="1:8" x14ac:dyDescent="0.25">
      <c r="B31" s="174" t="s">
        <v>33</v>
      </c>
      <c r="C31" s="212"/>
      <c r="D31" s="175"/>
      <c r="E31" s="61">
        <v>364656.65</v>
      </c>
      <c r="F31" s="40">
        <v>355401.62</v>
      </c>
      <c r="G31" s="61">
        <f>57050.33-32489.33</f>
        <v>24561</v>
      </c>
      <c r="H31" s="5"/>
    </row>
    <row r="32" spans="1:8" x14ac:dyDescent="0.25">
      <c r="B32" s="174" t="s">
        <v>34</v>
      </c>
      <c r="C32" s="212"/>
      <c r="D32" s="175"/>
      <c r="E32" s="61">
        <v>464380.58</v>
      </c>
      <c r="F32" s="40">
        <v>454753.83</v>
      </c>
      <c r="G32" s="61">
        <f>74306.41-42255.9</f>
        <v>32050.510000000002</v>
      </c>
      <c r="H32" s="5"/>
    </row>
    <row r="33" spans="2:8" x14ac:dyDescent="0.25">
      <c r="B33" s="174" t="s">
        <v>35</v>
      </c>
      <c r="C33" s="212"/>
      <c r="D33" s="175"/>
      <c r="E33" s="61">
        <v>293613.37</v>
      </c>
      <c r="F33" s="40">
        <v>286374.33</v>
      </c>
      <c r="G33" s="61">
        <f>46174.89-26111.03</f>
        <v>20063.86</v>
      </c>
      <c r="H33" s="5"/>
    </row>
    <row r="34" spans="2:8" hidden="1" x14ac:dyDescent="0.25">
      <c r="B34" s="174" t="s">
        <v>36</v>
      </c>
      <c r="C34" s="175"/>
      <c r="D34" s="67"/>
      <c r="E34" s="61"/>
      <c r="F34" s="40"/>
      <c r="G34" s="61"/>
      <c r="H34" s="5"/>
    </row>
    <row r="35" spans="2:8" x14ac:dyDescent="0.25">
      <c r="B35" s="174" t="s">
        <v>37</v>
      </c>
      <c r="C35" s="212"/>
      <c r="D35" s="175"/>
      <c r="E35" s="61">
        <v>699500.33</v>
      </c>
      <c r="F35" s="40">
        <v>681740.28</v>
      </c>
      <c r="G35" s="61">
        <f>111472.73-62530.41</f>
        <v>48942.319999999992</v>
      </c>
      <c r="H35" s="5"/>
    </row>
    <row r="36" spans="2:8" x14ac:dyDescent="0.25">
      <c r="B36" s="174" t="s">
        <v>38</v>
      </c>
      <c r="C36" s="212"/>
      <c r="D36" s="175"/>
      <c r="E36" s="61">
        <v>455777.89</v>
      </c>
      <c r="F36" s="40">
        <f>444629.77+3225.3</f>
        <v>447855.07</v>
      </c>
      <c r="G36" s="61">
        <f>73141.26+9662.31+4385.25-52484.01</f>
        <v>34704.80999999999</v>
      </c>
      <c r="H36" s="5"/>
    </row>
    <row r="37" spans="2:8" ht="30" customHeight="1" x14ac:dyDescent="0.25">
      <c r="B37" s="174" t="s">
        <v>39</v>
      </c>
      <c r="C37" s="212"/>
      <c r="D37" s="175"/>
      <c r="E37" s="61">
        <v>515690.86</v>
      </c>
      <c r="F37" s="40">
        <f>2330.87+500692.02</f>
        <v>503022.89</v>
      </c>
      <c r="G37" s="61">
        <f>72185.68+3821.16-42233.26</f>
        <v>33773.579999999994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2793619.68</v>
      </c>
      <c r="F38" s="41">
        <f>SUM(F31:F37)</f>
        <v>2729148.02</v>
      </c>
      <c r="G38" s="41">
        <f>SUM(G31:G37)</f>
        <v>194096.07999999996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1108150.6000000001</v>
      </c>
      <c r="G44" s="123"/>
      <c r="H44" s="123">
        <f t="shared" ref="H44" si="0">H45+H46+H47</f>
        <v>1075423.6400000001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E31-3000</f>
        <v>361656.65</v>
      </c>
      <c r="G45" s="112"/>
      <c r="H45" s="105">
        <f>502118.5-47675.05</f>
        <v>454443.45</v>
      </c>
    </row>
    <row r="46" spans="2:8" x14ac:dyDescent="0.25">
      <c r="B46" s="210" t="s">
        <v>49</v>
      </c>
      <c r="C46" s="211"/>
      <c r="D46" s="24">
        <v>2014</v>
      </c>
      <c r="E46" s="10"/>
      <c r="F46" s="105">
        <f>E32-5000</f>
        <v>459380.58</v>
      </c>
      <c r="G46" s="112"/>
      <c r="H46" s="105">
        <f>429312-60434.63</f>
        <v>368877.37</v>
      </c>
    </row>
    <row r="47" spans="2:8" x14ac:dyDescent="0.25">
      <c r="B47" s="174" t="s">
        <v>35</v>
      </c>
      <c r="C47" s="175"/>
      <c r="D47" s="24">
        <v>2014</v>
      </c>
      <c r="E47" s="10"/>
      <c r="F47" s="105">
        <f>E33-6500</f>
        <v>287113.37</v>
      </c>
      <c r="G47" s="112"/>
      <c r="H47" s="105">
        <f>290603.6-38500.78</f>
        <v>252102.81999999998</v>
      </c>
    </row>
    <row r="48" spans="2:8" hidden="1" x14ac:dyDescent="0.25">
      <c r="B48" s="174" t="s">
        <v>36</v>
      </c>
      <c r="C48" s="175"/>
      <c r="D48" s="61"/>
      <c r="E48" s="10"/>
      <c r="F48" s="105"/>
      <c r="G48" s="112"/>
      <c r="H48" s="105"/>
    </row>
    <row r="49" spans="2:8" x14ac:dyDescent="0.25">
      <c r="B49" s="202" t="s">
        <v>65</v>
      </c>
      <c r="C49" s="203"/>
      <c r="D49" s="61"/>
      <c r="E49" s="10"/>
      <c r="F49" s="113"/>
      <c r="G49" s="112"/>
      <c r="H49" s="113"/>
    </row>
    <row r="50" spans="2:8" ht="30.75" customHeight="1" x14ac:dyDescent="0.25">
      <c r="B50" s="174" t="s">
        <v>66</v>
      </c>
      <c r="C50" s="175"/>
      <c r="D50" s="169" t="s">
        <v>266</v>
      </c>
      <c r="E50" s="169"/>
      <c r="F50" s="10"/>
      <c r="G50" s="16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527</v>
      </c>
      <c r="F51" s="151">
        <f>49290.22+535+126</f>
        <v>49951.22</v>
      </c>
      <c r="G51" s="150" t="s">
        <v>527</v>
      </c>
      <c r="H51" s="151">
        <f>49290.22+535+126</f>
        <v>49951.22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10012</v>
      </c>
      <c r="G52" s="169" t="s">
        <v>267</v>
      </c>
      <c r="H52" s="152">
        <v>13569.4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5379+18836.57</f>
        <v>24215.57</v>
      </c>
      <c r="G53" s="169" t="s">
        <v>267</v>
      </c>
      <c r="H53" s="152">
        <f>4675.64+18114.46</f>
        <v>22790.1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ht="16.5" customHeight="1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ht="16.5" customHeight="1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ht="16.5" customHeight="1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ht="16.5" customHeight="1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ht="16.5" customHeight="1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ht="16.5" customHeight="1" x14ac:dyDescent="0.25">
      <c r="B60" s="208" t="s">
        <v>69</v>
      </c>
      <c r="C60" s="209"/>
      <c r="D60" s="108" t="s">
        <v>272</v>
      </c>
      <c r="E60" s="161" t="s">
        <v>528</v>
      </c>
      <c r="F60" s="152">
        <v>124950</v>
      </c>
      <c r="G60" s="161" t="s">
        <v>528</v>
      </c>
      <c r="H60" s="152">
        <v>124950</v>
      </c>
    </row>
    <row r="61" spans="2:8" ht="16.5" customHeight="1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ht="16.5" customHeight="1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ht="16.5" customHeight="1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ht="36" customHeight="1" x14ac:dyDescent="0.25">
      <c r="B64" s="208" t="s">
        <v>529</v>
      </c>
      <c r="C64" s="209"/>
      <c r="D64" s="150"/>
      <c r="E64" s="150"/>
      <c r="F64" s="151"/>
      <c r="G64" s="150"/>
      <c r="H64" s="151">
        <f>813.76+435.38</f>
        <v>1249.1399999999999</v>
      </c>
    </row>
    <row r="65" spans="2:8" ht="16.5" customHeight="1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8" ht="43.5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8" ht="43.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8" ht="47.2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8" ht="85.5" customHeight="1" x14ac:dyDescent="0.25">
      <c r="B69" s="208" t="s">
        <v>54</v>
      </c>
      <c r="C69" s="209"/>
      <c r="D69" s="150" t="s">
        <v>266</v>
      </c>
      <c r="E69" s="150" t="s">
        <v>271</v>
      </c>
      <c r="F69" s="151">
        <v>36854.160000000003</v>
      </c>
      <c r="G69" s="150" t="s">
        <v>271</v>
      </c>
      <c r="H69" s="151">
        <v>35502.47</v>
      </c>
    </row>
    <row r="70" spans="2:8" ht="16.5" customHeight="1" x14ac:dyDescent="0.25">
      <c r="B70" s="208" t="s">
        <v>55</v>
      </c>
      <c r="C70" s="209"/>
      <c r="D70" s="108" t="s">
        <v>266</v>
      </c>
      <c r="E70" s="108" t="s">
        <v>317</v>
      </c>
      <c r="F70" s="152">
        <v>3080</v>
      </c>
      <c r="G70" s="108" t="s">
        <v>429</v>
      </c>
      <c r="H70" s="152">
        <f>7494.9+11115.5</f>
        <v>18610.400000000001</v>
      </c>
    </row>
    <row r="71" spans="2:8" x14ac:dyDescent="0.25">
      <c r="B71" s="208" t="s">
        <v>56</v>
      </c>
      <c r="C71" s="209"/>
      <c r="D71" s="108" t="s">
        <v>266</v>
      </c>
      <c r="E71" s="108" t="s">
        <v>271</v>
      </c>
      <c r="F71" s="152">
        <v>80523.03</v>
      </c>
      <c r="G71" s="108" t="s">
        <v>271</v>
      </c>
      <c r="H71" s="152">
        <v>80523.03</v>
      </c>
    </row>
    <row r="72" spans="2:8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</row>
    <row r="73" spans="2:8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8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8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8" ht="44.25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8" ht="44.25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8" ht="73.5" customHeight="1" x14ac:dyDescent="0.25">
      <c r="B78" s="208" t="s">
        <v>62</v>
      </c>
      <c r="C78" s="209"/>
      <c r="D78" s="150" t="s">
        <v>266</v>
      </c>
      <c r="E78" s="150" t="s">
        <v>271</v>
      </c>
      <c r="F78" s="151">
        <f>39460.01+27845.36+19357.74</f>
        <v>86663.11</v>
      </c>
      <c r="G78" s="150" t="s">
        <v>271</v>
      </c>
      <c r="H78" s="151">
        <f>39832.27+27882.59+19517.81</f>
        <v>87232.67</v>
      </c>
    </row>
    <row r="79" spans="2:8" x14ac:dyDescent="0.25">
      <c r="B79" s="208" t="s">
        <v>290</v>
      </c>
      <c r="C79" s="209"/>
      <c r="D79" s="108" t="s">
        <v>291</v>
      </c>
      <c r="E79" s="161" t="s">
        <v>530</v>
      </c>
      <c r="F79" s="152">
        <f>15695.8+5852+36630.8</f>
        <v>58178.600000000006</v>
      </c>
      <c r="G79" s="108" t="s">
        <v>531</v>
      </c>
      <c r="H79" s="152">
        <f>15695.8+41451.7+167.8+9588.7+12459.5+5008.3</f>
        <v>84371.8</v>
      </c>
    </row>
    <row r="80" spans="2:8" x14ac:dyDescent="0.25">
      <c r="B80" s="208" t="s">
        <v>282</v>
      </c>
      <c r="C80" s="209"/>
      <c r="D80" s="108"/>
      <c r="E80" s="108"/>
      <c r="F80" s="154"/>
      <c r="G80" s="108"/>
      <c r="H80" s="152"/>
    </row>
    <row r="81" spans="2:11" ht="20.25" customHeight="1" x14ac:dyDescent="0.25">
      <c r="B81" s="243" t="s">
        <v>63</v>
      </c>
      <c r="C81" s="244"/>
      <c r="D81" s="153"/>
      <c r="E81" s="108" t="s">
        <v>271</v>
      </c>
      <c r="F81" s="152">
        <v>72875.64</v>
      </c>
      <c r="G81" s="108" t="s">
        <v>271</v>
      </c>
      <c r="H81" s="152">
        <v>72875.64</v>
      </c>
    </row>
    <row r="82" spans="2:11" ht="20.25" customHeight="1" x14ac:dyDescent="0.25">
      <c r="B82" s="243" t="s">
        <v>64</v>
      </c>
      <c r="C82" s="244"/>
      <c r="D82" s="108"/>
      <c r="E82" s="108" t="s">
        <v>271</v>
      </c>
      <c r="F82" s="152">
        <v>61795.86</v>
      </c>
      <c r="G82" s="108" t="s">
        <v>271</v>
      </c>
      <c r="H82" s="152">
        <v>60428.31</v>
      </c>
    </row>
    <row r="83" spans="2:11" ht="21" customHeight="1" x14ac:dyDescent="0.25">
      <c r="B83" s="243" t="s">
        <v>294</v>
      </c>
      <c r="C83" s="244"/>
      <c r="D83" s="108"/>
      <c r="E83" s="108"/>
      <c r="F83" s="162"/>
      <c r="G83" s="163"/>
      <c r="H83" s="162"/>
    </row>
    <row r="84" spans="2:11" ht="23.25" customHeight="1" x14ac:dyDescent="0.25">
      <c r="B84" s="208" t="s">
        <v>295</v>
      </c>
      <c r="C84" s="209"/>
      <c r="D84" s="153" t="s">
        <v>296</v>
      </c>
      <c r="E84" s="108"/>
      <c r="F84" s="152">
        <v>11912.46</v>
      </c>
      <c r="G84" s="108"/>
      <c r="H84" s="152">
        <v>13319.88</v>
      </c>
    </row>
    <row r="85" spans="2:11" x14ac:dyDescent="0.25">
      <c r="B85" s="208" t="s">
        <v>71</v>
      </c>
      <c r="C85" s="209"/>
      <c r="D85" s="153" t="s">
        <v>297</v>
      </c>
      <c r="E85" s="108" t="s">
        <v>298</v>
      </c>
      <c r="F85" s="152">
        <v>2820</v>
      </c>
      <c r="G85" s="108" t="s">
        <v>298</v>
      </c>
      <c r="H85" s="152">
        <v>2683.62</v>
      </c>
    </row>
    <row r="86" spans="2:11" x14ac:dyDescent="0.25">
      <c r="B86" s="208" t="s">
        <v>72</v>
      </c>
      <c r="C86" s="209"/>
      <c r="D86" s="108" t="s">
        <v>299</v>
      </c>
      <c r="E86" s="108" t="s">
        <v>532</v>
      </c>
      <c r="F86" s="152">
        <v>8749.74</v>
      </c>
      <c r="G86" s="108" t="s">
        <v>532</v>
      </c>
      <c r="H86" s="152">
        <v>8749.74</v>
      </c>
    </row>
    <row r="87" spans="2:11" x14ac:dyDescent="0.25">
      <c r="B87" s="208" t="s">
        <v>301</v>
      </c>
      <c r="C87" s="209"/>
      <c r="D87" s="108" t="s">
        <v>291</v>
      </c>
      <c r="E87" s="108" t="s">
        <v>271</v>
      </c>
      <c r="F87" s="152">
        <v>68831.66</v>
      </c>
      <c r="G87" s="108" t="s">
        <v>271</v>
      </c>
      <c r="H87" s="161">
        <v>68831.66</v>
      </c>
    </row>
    <row r="88" spans="2:11" x14ac:dyDescent="0.25">
      <c r="B88" s="208" t="s">
        <v>282</v>
      </c>
      <c r="C88" s="209"/>
      <c r="D88" s="108"/>
      <c r="E88" s="108"/>
      <c r="F88" s="154"/>
      <c r="G88" s="108"/>
      <c r="H88" s="154"/>
      <c r="K88" s="5"/>
    </row>
    <row r="89" spans="2:11" x14ac:dyDescent="0.25">
      <c r="B89" s="208" t="s">
        <v>302</v>
      </c>
      <c r="C89" s="209"/>
      <c r="D89" s="108" t="s">
        <v>291</v>
      </c>
      <c r="E89" s="108" t="s">
        <v>533</v>
      </c>
      <c r="F89" s="152">
        <v>30525.67</v>
      </c>
      <c r="G89" s="108" t="s">
        <v>533</v>
      </c>
      <c r="H89" s="152">
        <v>25111.73</v>
      </c>
    </row>
    <row r="90" spans="2:11" ht="42" customHeight="1" x14ac:dyDescent="0.25">
      <c r="B90" s="208" t="s">
        <v>320</v>
      </c>
      <c r="C90" s="209"/>
      <c r="D90" s="108"/>
      <c r="E90" s="108"/>
      <c r="F90" s="152">
        <v>369575.16</v>
      </c>
      <c r="G90" s="108"/>
      <c r="H90" s="152">
        <v>369575.16</v>
      </c>
    </row>
    <row r="91" spans="2:11" ht="19.5" customHeight="1" x14ac:dyDescent="0.25">
      <c r="B91" s="206" t="s">
        <v>73</v>
      </c>
      <c r="C91" s="207"/>
      <c r="D91" s="108"/>
      <c r="E91" s="108"/>
      <c r="F91" s="165">
        <v>2389000</v>
      </c>
      <c r="G91" s="165"/>
      <c r="H91" s="165">
        <f>2612647.8-241729.9</f>
        <v>2370917.9</v>
      </c>
    </row>
    <row r="92" spans="2:11" x14ac:dyDescent="0.25">
      <c r="B92" s="9"/>
      <c r="C92" s="9"/>
      <c r="D92" s="5"/>
      <c r="E92" s="5"/>
      <c r="F92" s="15"/>
      <c r="G92" s="5"/>
      <c r="H92" s="15"/>
    </row>
    <row r="93" spans="2:11" x14ac:dyDescent="0.25">
      <c r="B93" s="201" t="s">
        <v>177</v>
      </c>
      <c r="C93" s="201"/>
      <c r="D93" s="201"/>
      <c r="E93" s="201"/>
      <c r="F93" s="201"/>
      <c r="G93" s="201"/>
    </row>
    <row r="94" spans="2:11" ht="63" customHeight="1" x14ac:dyDescent="0.25">
      <c r="B94" s="194" t="s">
        <v>29</v>
      </c>
      <c r="C94" s="194"/>
      <c r="D94" s="66" t="s">
        <v>30</v>
      </c>
      <c r="E94" s="66" t="s">
        <v>31</v>
      </c>
      <c r="F94" s="64" t="s">
        <v>82</v>
      </c>
      <c r="G94" s="64" t="s">
        <v>32</v>
      </c>
    </row>
    <row r="95" spans="2:11" x14ac:dyDescent="0.25">
      <c r="B95" s="181" t="s">
        <v>83</v>
      </c>
      <c r="C95" s="183"/>
      <c r="D95" s="61">
        <v>210631.04000000001</v>
      </c>
      <c r="E95" s="61">
        <v>144305.94</v>
      </c>
      <c r="F95" s="61">
        <f>E95</f>
        <v>144305.94</v>
      </c>
      <c r="G95" s="63">
        <f>92924.14-52688.99</f>
        <v>40235.15</v>
      </c>
    </row>
    <row r="96" spans="2:11" x14ac:dyDescent="0.25">
      <c r="B96" s="181" t="s">
        <v>84</v>
      </c>
      <c r="C96" s="183"/>
      <c r="D96" s="61">
        <f>92631.94-1641.82+25088.57-464.82+28641.58-451.97+48792.42</f>
        <v>192595.90000000002</v>
      </c>
      <c r="E96" s="61">
        <f>92414.79+25252.09+28268.83+47619.53</f>
        <v>193555.24</v>
      </c>
      <c r="F96" s="61">
        <f t="shared" ref="F96:F103" si="1">E96</f>
        <v>193555.24</v>
      </c>
      <c r="G96" s="63">
        <f>41252.87+11281.66+11412.47-23128.52-370.58-6264.16-104.69-7151.29-102.62+3053.93</f>
        <v>29879.069999999989</v>
      </c>
    </row>
    <row r="97" spans="2:8" ht="30" customHeight="1" x14ac:dyDescent="0.25">
      <c r="B97" s="174" t="s">
        <v>85</v>
      </c>
      <c r="C97" s="175"/>
      <c r="D97" s="61">
        <f>73776.55+28.35</f>
        <v>73804.900000000009</v>
      </c>
      <c r="E97" s="61">
        <v>72792.759999999995</v>
      </c>
      <c r="F97" s="61">
        <f t="shared" si="1"/>
        <v>72792.759999999995</v>
      </c>
      <c r="G97" s="63">
        <f>32899.62-18451.36</f>
        <v>14448.260000000002</v>
      </c>
    </row>
    <row r="98" spans="2:8" ht="30" customHeight="1" x14ac:dyDescent="0.25">
      <c r="B98" s="174" t="s">
        <v>86</v>
      </c>
      <c r="C98" s="175"/>
      <c r="D98" s="61">
        <f>18854.09-4.45</f>
        <v>18849.64</v>
      </c>
      <c r="E98" s="61">
        <v>18628.43</v>
      </c>
      <c r="F98" s="61">
        <f t="shared" si="1"/>
        <v>18628.43</v>
      </c>
      <c r="G98" s="63">
        <f>8360.52-4715.36</f>
        <v>3645.1600000000008</v>
      </c>
    </row>
    <row r="99" spans="2:8" x14ac:dyDescent="0.25">
      <c r="B99" s="174" t="s">
        <v>87</v>
      </c>
      <c r="C99" s="175"/>
      <c r="D99" s="61">
        <f>-205.22+272973.18-64.28</f>
        <v>272703.68</v>
      </c>
      <c r="E99" s="61">
        <f>1980.34+266660.9</f>
        <v>268641.24000000005</v>
      </c>
      <c r="F99" s="61">
        <f t="shared" si="1"/>
        <v>268641.24000000005</v>
      </c>
      <c r="G99" s="63">
        <f>8177.88+108685.45-80.7-68270.01</f>
        <v>48512.62000000001</v>
      </c>
    </row>
    <row r="100" spans="2:8" x14ac:dyDescent="0.25">
      <c r="B100" s="174" t="s">
        <v>88</v>
      </c>
      <c r="C100" s="175"/>
      <c r="D100" s="61">
        <f>13116.5-3.08</f>
        <v>13113.42</v>
      </c>
      <c r="E100" s="61">
        <v>12866.87</v>
      </c>
      <c r="F100" s="61">
        <f t="shared" si="1"/>
        <v>12866.87</v>
      </c>
      <c r="G100" s="63">
        <f>5894.89-3280.41</f>
        <v>2614.4800000000005</v>
      </c>
    </row>
    <row r="101" spans="2:8" x14ac:dyDescent="0.25">
      <c r="B101" s="174" t="s">
        <v>150</v>
      </c>
      <c r="C101" s="175"/>
      <c r="D101" s="61">
        <f>44450-70</f>
        <v>44380</v>
      </c>
      <c r="E101" s="61">
        <v>44686.18</v>
      </c>
      <c r="F101" s="61">
        <f t="shared" si="1"/>
        <v>44686.18</v>
      </c>
      <c r="G101" s="63">
        <f>21844.15-41.67-11060</f>
        <v>10742.480000000003</v>
      </c>
    </row>
    <row r="102" spans="2:8" x14ac:dyDescent="0.25">
      <c r="B102" s="174" t="s">
        <v>89</v>
      </c>
      <c r="C102" s="175"/>
      <c r="D102" s="61">
        <f>24199.68-25</f>
        <v>24174.68</v>
      </c>
      <c r="E102" s="61">
        <v>24336.98</v>
      </c>
      <c r="F102" s="61">
        <f t="shared" si="1"/>
        <v>24336.98</v>
      </c>
      <c r="G102" s="63">
        <f>11555.35-6049.92</f>
        <v>5505.43</v>
      </c>
    </row>
    <row r="103" spans="2:8" ht="30" x14ac:dyDescent="0.25">
      <c r="B103" s="59" t="s">
        <v>81</v>
      </c>
      <c r="C103" s="60"/>
      <c r="D103" s="61">
        <f>-192.19-1.82</f>
        <v>-194.01</v>
      </c>
      <c r="E103" s="61">
        <f>16075.05+3.96+51.38</f>
        <v>16130.389999999998</v>
      </c>
      <c r="F103" s="61">
        <f t="shared" si="1"/>
        <v>16130.389999999998</v>
      </c>
      <c r="G103" s="63">
        <f>1881.3+3476.32+127.26+1246.04</f>
        <v>6730.92</v>
      </c>
    </row>
    <row r="104" spans="2:8" ht="18.75" customHeight="1" x14ac:dyDescent="0.25">
      <c r="B104" s="202" t="s">
        <v>90</v>
      </c>
      <c r="C104" s="203"/>
      <c r="D104" s="65">
        <f>SUM(D95:D103)</f>
        <v>850059.25000000023</v>
      </c>
      <c r="E104" s="65">
        <f>SUM(E95:E103)</f>
        <v>795944.03000000014</v>
      </c>
      <c r="F104" s="61">
        <f>E104</f>
        <v>795944.03000000014</v>
      </c>
      <c r="G104" s="65">
        <f>SUM(G95:G103)</f>
        <v>162313.57000000004</v>
      </c>
    </row>
    <row r="105" spans="2:8" x14ac:dyDescent="0.25">
      <c r="B105" s="202" t="s">
        <v>91</v>
      </c>
      <c r="C105" s="203"/>
      <c r="D105" s="70">
        <f>D104+F116+E38+C139</f>
        <v>7463422.8000000007</v>
      </c>
      <c r="E105" s="70">
        <f>E104+G116+F38+D139</f>
        <v>6736713.8099999996</v>
      </c>
      <c r="F105" s="70">
        <f>E105</f>
        <v>6736713.8099999996</v>
      </c>
      <c r="G105" s="70">
        <f>G38+G104+H116+F139</f>
        <v>1199929.8400000001</v>
      </c>
    </row>
    <row r="106" spans="2:8" x14ac:dyDescent="0.25">
      <c r="B106" s="16"/>
      <c r="C106" s="16"/>
      <c r="D106" s="16"/>
      <c r="E106" s="17"/>
      <c r="F106" s="17"/>
      <c r="G106" s="17"/>
      <c r="H106" s="17"/>
    </row>
    <row r="107" spans="2:8" x14ac:dyDescent="0.25">
      <c r="B107" s="204" t="s">
        <v>176</v>
      </c>
      <c r="C107" s="201"/>
      <c r="D107" s="201"/>
      <c r="E107" s="201"/>
      <c r="F107" s="201"/>
    </row>
    <row r="108" spans="2:8" ht="38.25" customHeight="1" x14ac:dyDescent="0.25">
      <c r="B108" s="194" t="s">
        <v>29</v>
      </c>
      <c r="C108" s="194" t="s">
        <v>93</v>
      </c>
      <c r="D108" s="194"/>
      <c r="E108" s="205" t="s">
        <v>94</v>
      </c>
      <c r="F108" s="194" t="s">
        <v>30</v>
      </c>
      <c r="G108" s="194" t="s">
        <v>31</v>
      </c>
      <c r="H108" s="195" t="s">
        <v>95</v>
      </c>
    </row>
    <row r="109" spans="2:8" ht="35.25" customHeight="1" x14ac:dyDescent="0.25">
      <c r="B109" s="194"/>
      <c r="C109" s="66" t="s">
        <v>96</v>
      </c>
      <c r="D109" s="19" t="s">
        <v>97</v>
      </c>
      <c r="E109" s="205"/>
      <c r="F109" s="194"/>
      <c r="G109" s="194"/>
      <c r="H109" s="195"/>
    </row>
    <row r="110" spans="2:8" x14ac:dyDescent="0.25">
      <c r="B110" s="10" t="s">
        <v>98</v>
      </c>
      <c r="C110" s="61">
        <v>1400.08</v>
      </c>
      <c r="D110" s="42">
        <v>1439.26</v>
      </c>
      <c r="E110" s="110">
        <v>1031.3</v>
      </c>
      <c r="F110" s="61">
        <f>-4251.09+1484381.05-3516.05</f>
        <v>1476613.91</v>
      </c>
      <c r="G110" s="61">
        <f>4226.81+871039.46</f>
        <v>875266.27</v>
      </c>
      <c r="H110" s="61">
        <f>2238.96+794819.86-570649.19</f>
        <v>226409.63</v>
      </c>
    </row>
    <row r="111" spans="2:8" x14ac:dyDescent="0.25">
      <c r="B111" s="10" t="s">
        <v>147</v>
      </c>
      <c r="C111" s="61">
        <v>22.15</v>
      </c>
      <c r="D111" s="42">
        <v>26.44</v>
      </c>
      <c r="E111" s="110">
        <v>6696.05</v>
      </c>
      <c r="F111" s="61">
        <f>605152.73-11816.96+84898.26+3817.39+21747.45+1139.58+155216.73-2209.32</f>
        <v>857945.86</v>
      </c>
      <c r="G111" s="61">
        <f>577264+77801.05+20458.74+150678.85</f>
        <v>826202.64</v>
      </c>
      <c r="H111" s="61">
        <f>291011.1+60041.66+15046.8+68161.88-170748-462.93-17381.95-6697.2-4253.94-1802.23-41790.01-189.59</f>
        <v>190935.58999999997</v>
      </c>
    </row>
    <row r="112" spans="2:8" x14ac:dyDescent="0.25">
      <c r="B112" s="10" t="s">
        <v>99</v>
      </c>
      <c r="C112" s="61">
        <v>18.43</v>
      </c>
      <c r="D112" s="42">
        <v>19.22</v>
      </c>
      <c r="E112" s="110">
        <v>8907</v>
      </c>
      <c r="F112" s="61">
        <f>9105.5-411.07+162162.05-3964.6-405.2</f>
        <v>166486.67999999996</v>
      </c>
      <c r="G112" s="61">
        <f>12778.49+113.28+170020.45-13.52</f>
        <v>182898.7</v>
      </c>
      <c r="H112" s="61">
        <f>11671.57-0.98+74361.28+3516.17-2143.63+27.43-38583.24-375.19</f>
        <v>48473.409999999982</v>
      </c>
    </row>
    <row r="113" spans="2:8" x14ac:dyDescent="0.25">
      <c r="B113" s="10" t="s">
        <v>100</v>
      </c>
      <c r="C113" s="61">
        <v>12.31</v>
      </c>
      <c r="D113" s="42">
        <v>12.84</v>
      </c>
      <c r="E113" s="110">
        <v>15087.05</v>
      </c>
      <c r="F113" s="61">
        <f>183748.25-3655.1-374.03</f>
        <v>179719.12</v>
      </c>
      <c r="G113" s="61">
        <f>187338.31+132.3</f>
        <v>187470.61</v>
      </c>
      <c r="H113" s="61">
        <f>85970.14+309.46-46070.11-356.49</f>
        <v>39853.000000000007</v>
      </c>
    </row>
    <row r="114" spans="2:8" x14ac:dyDescent="0.25">
      <c r="B114" s="10" t="s">
        <v>101</v>
      </c>
      <c r="C114" s="61" t="s">
        <v>145</v>
      </c>
      <c r="D114" s="42" t="s">
        <v>146</v>
      </c>
      <c r="E114" s="110">
        <v>186494</v>
      </c>
      <c r="F114" s="61">
        <f>133874.38+6647.39+544086.21-32816.73</f>
        <v>651791.25</v>
      </c>
      <c r="G114" s="61">
        <f>140449.54+516711.16</f>
        <v>657160.69999999995</v>
      </c>
      <c r="H114" s="61">
        <f>137125.8+273575.58-28025.26-4572.01-140855.3+5081.82</f>
        <v>242330.63</v>
      </c>
    </row>
    <row r="115" spans="2:8" x14ac:dyDescent="0.25">
      <c r="B115" s="10" t="s">
        <v>102</v>
      </c>
      <c r="C115" s="61">
        <v>2.2999999999999998</v>
      </c>
      <c r="D115" s="42">
        <v>2.39</v>
      </c>
      <c r="E115" s="110">
        <v>25431</v>
      </c>
      <c r="F115" s="61">
        <f>79073.83+17.54</f>
        <v>79091.37</v>
      </c>
      <c r="G115" s="61">
        <v>80906.55</v>
      </c>
      <c r="H115" s="61">
        <f>32154.45-19518.11-82.55</f>
        <v>12553.79</v>
      </c>
    </row>
    <row r="116" spans="2:8" x14ac:dyDescent="0.25">
      <c r="B116" s="11" t="s">
        <v>103</v>
      </c>
      <c r="C116" s="65"/>
      <c r="D116" s="42"/>
      <c r="E116" s="4"/>
      <c r="F116" s="65">
        <f>SUM(F110:F115)</f>
        <v>3411648.1900000004</v>
      </c>
      <c r="G116" s="65">
        <f>SUM(G110:G115)</f>
        <v>2809905.4699999997</v>
      </c>
      <c r="H116" s="65">
        <f>SUM(H110:H115)</f>
        <v>760556.05</v>
      </c>
    </row>
    <row r="117" spans="2:8" x14ac:dyDescent="0.25">
      <c r="B117" s="16"/>
      <c r="C117" s="16"/>
      <c r="D117" s="16"/>
      <c r="E117" s="17"/>
      <c r="F117" s="17"/>
      <c r="G117" s="17"/>
      <c r="H117" s="17"/>
    </row>
    <row r="118" spans="2:8" x14ac:dyDescent="0.25">
      <c r="B118" s="16"/>
      <c r="C118" s="16" t="s">
        <v>244</v>
      </c>
      <c r="D118" s="16"/>
      <c r="E118" s="17"/>
      <c r="F118" s="17"/>
      <c r="G118" s="17"/>
      <c r="H118" s="17"/>
    </row>
    <row r="119" spans="2:8" x14ac:dyDescent="0.25">
      <c r="B119" s="137" t="s">
        <v>228</v>
      </c>
      <c r="C119" s="137" t="s">
        <v>229</v>
      </c>
      <c r="D119" s="137"/>
      <c r="E119" s="131" t="s">
        <v>230</v>
      </c>
      <c r="F119" s="17"/>
      <c r="G119" s="17"/>
      <c r="H119" s="17"/>
    </row>
    <row r="120" spans="2:8" x14ac:dyDescent="0.25">
      <c r="B120" s="133" t="s">
        <v>231</v>
      </c>
      <c r="C120" s="199">
        <v>17</v>
      </c>
      <c r="D120" s="200"/>
      <c r="E120" s="105">
        <v>100</v>
      </c>
      <c r="F120" s="17"/>
      <c r="G120" s="17"/>
      <c r="H120" s="17"/>
    </row>
    <row r="121" spans="2:8" x14ac:dyDescent="0.25">
      <c r="B121" s="133" t="s">
        <v>232</v>
      </c>
      <c r="C121" s="199">
        <v>16</v>
      </c>
      <c r="D121" s="200"/>
      <c r="E121" s="105">
        <v>100</v>
      </c>
      <c r="F121" s="17"/>
      <c r="G121" s="17"/>
      <c r="H121" s="17"/>
    </row>
    <row r="122" spans="2:8" x14ac:dyDescent="0.25">
      <c r="B122" s="133" t="s">
        <v>233</v>
      </c>
      <c r="C122" s="199"/>
      <c r="D122" s="200"/>
      <c r="E122" s="105"/>
      <c r="F122" s="17"/>
      <c r="G122" s="17"/>
      <c r="H122" s="17"/>
    </row>
    <row r="123" spans="2:8" x14ac:dyDescent="0.25">
      <c r="B123" s="133" t="s">
        <v>234</v>
      </c>
      <c r="C123" s="199">
        <v>3</v>
      </c>
      <c r="D123" s="200"/>
      <c r="E123" s="105">
        <v>100</v>
      </c>
      <c r="F123" s="17"/>
      <c r="G123" s="17"/>
      <c r="H123" s="17"/>
    </row>
    <row r="124" spans="2:8" x14ac:dyDescent="0.25">
      <c r="B124" s="133" t="s">
        <v>235</v>
      </c>
      <c r="C124" s="199">
        <v>3</v>
      </c>
      <c r="D124" s="200"/>
      <c r="E124" s="105">
        <v>100</v>
      </c>
      <c r="F124" s="17"/>
      <c r="G124" s="17"/>
      <c r="H124" s="17"/>
    </row>
    <row r="125" spans="2:8" x14ac:dyDescent="0.25">
      <c r="B125" s="133" t="s">
        <v>236</v>
      </c>
      <c r="C125" s="199"/>
      <c r="D125" s="200"/>
      <c r="E125" s="105"/>
      <c r="F125" s="17"/>
      <c r="G125" s="17"/>
      <c r="H125" s="17"/>
    </row>
    <row r="126" spans="2:8" x14ac:dyDescent="0.25">
      <c r="B126" s="133" t="s">
        <v>70</v>
      </c>
      <c r="C126" s="199">
        <v>2</v>
      </c>
      <c r="D126" s="200"/>
      <c r="E126" s="105">
        <v>100</v>
      </c>
      <c r="F126" s="17"/>
      <c r="G126" s="17"/>
      <c r="H126" s="17"/>
    </row>
    <row r="127" spans="2:8" x14ac:dyDescent="0.25">
      <c r="B127" s="133" t="s">
        <v>237</v>
      </c>
      <c r="C127" s="199"/>
      <c r="D127" s="200"/>
      <c r="E127" s="105"/>
      <c r="F127" s="17"/>
      <c r="G127" s="17"/>
      <c r="H127" s="17"/>
    </row>
    <row r="128" spans="2:8" x14ac:dyDescent="0.25">
      <c r="B128" s="133" t="s">
        <v>238</v>
      </c>
      <c r="C128" s="199">
        <v>5</v>
      </c>
      <c r="D128" s="200"/>
      <c r="E128" s="105">
        <v>100</v>
      </c>
      <c r="F128" s="17"/>
      <c r="G128" s="17"/>
      <c r="H128" s="17"/>
    </row>
    <row r="129" spans="2:8" x14ac:dyDescent="0.25">
      <c r="B129" s="133" t="s">
        <v>239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240</v>
      </c>
      <c r="C130" s="199"/>
      <c r="D130" s="200"/>
      <c r="E130" s="129"/>
      <c r="F130" s="17"/>
      <c r="G130" s="17"/>
      <c r="H130" s="17"/>
    </row>
    <row r="131" spans="2:8" x14ac:dyDescent="0.25">
      <c r="B131" s="133" t="s">
        <v>241</v>
      </c>
      <c r="C131" s="199"/>
      <c r="D131" s="200"/>
      <c r="E131" s="129"/>
      <c r="F131" s="17"/>
      <c r="G131" s="17"/>
      <c r="H131" s="17"/>
    </row>
    <row r="132" spans="2:8" x14ac:dyDescent="0.25">
      <c r="B132" s="133" t="s">
        <v>242</v>
      </c>
      <c r="C132" s="199"/>
      <c r="D132" s="200"/>
      <c r="E132" s="129"/>
      <c r="F132" s="17"/>
      <c r="G132" s="17"/>
      <c r="H132" s="17"/>
    </row>
    <row r="133" spans="2:8" x14ac:dyDescent="0.25">
      <c r="B133" s="133" t="s">
        <v>243</v>
      </c>
      <c r="C133" s="199"/>
      <c r="D133" s="200"/>
      <c r="E133" s="129"/>
      <c r="F133" s="17"/>
      <c r="G133" s="17"/>
      <c r="H133" s="17"/>
    </row>
    <row r="134" spans="2:8" x14ac:dyDescent="0.25">
      <c r="B134" s="139" t="s">
        <v>103</v>
      </c>
      <c r="C134" s="245">
        <f>SUM(C120:C133)</f>
        <v>46</v>
      </c>
      <c r="D134" s="246"/>
      <c r="E134" s="145">
        <v>100</v>
      </c>
      <c r="F134" s="9"/>
      <c r="G134" s="9"/>
      <c r="H134" s="17"/>
    </row>
    <row r="135" spans="2:8" x14ac:dyDescent="0.25">
      <c r="B135" s="12"/>
      <c r="C135" s="12"/>
      <c r="D135" s="9"/>
      <c r="E135" s="9"/>
      <c r="F135" s="9"/>
      <c r="G135" s="9"/>
    </row>
    <row r="136" spans="2:8" ht="44.25" customHeight="1" x14ac:dyDescent="0.25">
      <c r="B136" s="33"/>
      <c r="C136" s="65" t="s">
        <v>30</v>
      </c>
      <c r="D136" s="65" t="s">
        <v>31</v>
      </c>
      <c r="E136" s="64" t="s">
        <v>104</v>
      </c>
      <c r="F136" s="64" t="s">
        <v>32</v>
      </c>
    </row>
    <row r="137" spans="2:8" x14ac:dyDescent="0.25">
      <c r="B137" s="32" t="s">
        <v>105</v>
      </c>
      <c r="C137" s="61">
        <f>391109+7482</f>
        <v>398591</v>
      </c>
      <c r="D137" s="61">
        <f>383605.5+0.17</f>
        <v>383605.67</v>
      </c>
      <c r="E137" s="61"/>
      <c r="F137" s="63">
        <f>175878.21+1683.35+451.73+828.9-98064.5-7578.5</f>
        <v>73199.19</v>
      </c>
    </row>
    <row r="138" spans="2:8" x14ac:dyDescent="0.25">
      <c r="B138" s="32" t="s">
        <v>106</v>
      </c>
      <c r="C138" s="61">
        <f>16067.73-6563.05</f>
        <v>9504.68</v>
      </c>
      <c r="D138" s="61">
        <v>18110.62</v>
      </c>
      <c r="E138" s="61"/>
      <c r="F138" s="63">
        <f>7004.82-3802.92+6563.05</f>
        <v>9764.9500000000007</v>
      </c>
    </row>
    <row r="139" spans="2:8" ht="28.5" x14ac:dyDescent="0.25">
      <c r="B139" s="33" t="s">
        <v>178</v>
      </c>
      <c r="C139" s="65">
        <f>SUM(C137:C138)</f>
        <v>408095.68</v>
      </c>
      <c r="D139" s="65">
        <f>SUM(D137:D138)</f>
        <v>401716.29</v>
      </c>
      <c r="E139" s="61"/>
      <c r="F139" s="65">
        <f>SUM(F137:F138)</f>
        <v>82964.14</v>
      </c>
    </row>
    <row r="141" spans="2:8" x14ac:dyDescent="0.25">
      <c r="B141" s="177" t="s">
        <v>108</v>
      </c>
      <c r="C141" s="178"/>
      <c r="D141" s="179"/>
      <c r="E141" s="196">
        <f>G105</f>
        <v>1199929.8400000001</v>
      </c>
      <c r="F141" s="197"/>
    </row>
    <row r="143" spans="2:8" x14ac:dyDescent="0.25">
      <c r="B143" s="198" t="s">
        <v>109</v>
      </c>
      <c r="C143" s="198"/>
      <c r="D143" s="198"/>
      <c r="E143" s="193"/>
      <c r="F143" s="193"/>
    </row>
    <row r="144" spans="2:8" x14ac:dyDescent="0.25">
      <c r="B144" s="192" t="s">
        <v>110</v>
      </c>
      <c r="C144" s="192"/>
      <c r="D144" s="192"/>
      <c r="E144" s="193"/>
      <c r="F144" s="193"/>
    </row>
    <row r="145" spans="2:8" x14ac:dyDescent="0.25">
      <c r="B145" s="192" t="s">
        <v>111</v>
      </c>
      <c r="C145" s="192"/>
      <c r="D145" s="192"/>
      <c r="E145" s="193"/>
      <c r="F145" s="193"/>
    </row>
    <row r="146" spans="2:8" x14ac:dyDescent="0.25">
      <c r="B146" s="192" t="s">
        <v>112</v>
      </c>
      <c r="C146" s="192"/>
      <c r="D146" s="192"/>
      <c r="E146" s="193"/>
      <c r="F146" s="193"/>
    </row>
    <row r="147" spans="2:8" x14ac:dyDescent="0.25">
      <c r="B147" s="192" t="s">
        <v>113</v>
      </c>
      <c r="C147" s="192"/>
      <c r="D147" s="192"/>
      <c r="E147" s="193"/>
      <c r="F147" s="193"/>
    </row>
    <row r="149" spans="2:8" x14ac:dyDescent="0.25">
      <c r="B149" s="177" t="s">
        <v>114</v>
      </c>
      <c r="C149" s="178"/>
      <c r="D149" s="179"/>
      <c r="E149" s="193"/>
      <c r="F149" s="193"/>
    </row>
    <row r="151" spans="2:8" hidden="1" x14ac:dyDescent="0.25">
      <c r="B151" s="181" t="s">
        <v>123</v>
      </c>
      <c r="C151" s="183"/>
      <c r="D151" s="61" t="s">
        <v>124</v>
      </c>
      <c r="E151" s="176" t="s">
        <v>122</v>
      </c>
      <c r="F151" s="176"/>
    </row>
    <row r="152" spans="2:8" hidden="1" x14ac:dyDescent="0.25">
      <c r="B152" s="181" t="s">
        <v>125</v>
      </c>
      <c r="C152" s="183"/>
      <c r="D152" s="61" t="s">
        <v>126</v>
      </c>
      <c r="E152" s="176" t="s">
        <v>122</v>
      </c>
      <c r="F152" s="176"/>
    </row>
    <row r="153" spans="2:8" ht="30" hidden="1" customHeight="1" x14ac:dyDescent="0.25">
      <c r="B153" s="174" t="s">
        <v>127</v>
      </c>
      <c r="C153" s="175"/>
      <c r="D153" s="61" t="s">
        <v>128</v>
      </c>
      <c r="E153" s="176" t="s">
        <v>122</v>
      </c>
      <c r="F153" s="176"/>
    </row>
    <row r="154" spans="2:8" ht="30" hidden="1" customHeight="1" x14ac:dyDescent="0.25">
      <c r="B154" s="174" t="s">
        <v>129</v>
      </c>
      <c r="C154" s="175"/>
      <c r="D154" s="61" t="s">
        <v>130</v>
      </c>
      <c r="E154" s="176"/>
      <c r="F154" s="176"/>
    </row>
    <row r="155" spans="2:8" ht="30" hidden="1" x14ac:dyDescent="0.25">
      <c r="B155" s="174" t="s">
        <v>131</v>
      </c>
      <c r="C155" s="175"/>
      <c r="D155" s="24" t="s">
        <v>132</v>
      </c>
      <c r="E155" s="176" t="s">
        <v>133</v>
      </c>
      <c r="F155" s="176"/>
    </row>
    <row r="156" spans="2:8" hidden="1" x14ac:dyDescent="0.25">
      <c r="B156" s="181" t="s">
        <v>134</v>
      </c>
      <c r="C156" s="183"/>
      <c r="D156" s="10" t="s">
        <v>135</v>
      </c>
      <c r="E156" s="176"/>
      <c r="F156" s="176"/>
    </row>
    <row r="157" spans="2:8" ht="30" hidden="1" customHeight="1" x14ac:dyDescent="0.25">
      <c r="B157" s="174" t="s">
        <v>136</v>
      </c>
      <c r="C157" s="175"/>
      <c r="D157" s="10" t="s">
        <v>137</v>
      </c>
      <c r="E157" s="176"/>
      <c r="F157" s="176"/>
    </row>
    <row r="158" spans="2:8" ht="30" hidden="1" customHeight="1" x14ac:dyDescent="0.25">
      <c r="B158" s="174" t="s">
        <v>138</v>
      </c>
      <c r="C158" s="175"/>
      <c r="D158" s="61" t="s">
        <v>139</v>
      </c>
      <c r="E158" s="176"/>
      <c r="F158" s="176"/>
    </row>
    <row r="159" spans="2:8" x14ac:dyDescent="0.25">
      <c r="B159" s="177" t="s">
        <v>74</v>
      </c>
      <c r="C159" s="178"/>
      <c r="D159" s="179"/>
      <c r="E159" s="180">
        <v>2800</v>
      </c>
      <c r="F159" s="180"/>
      <c r="G159" s="25"/>
      <c r="H159" s="25"/>
    </row>
    <row r="160" spans="2:8" x14ac:dyDescent="0.25">
      <c r="B160" s="181" t="s">
        <v>75</v>
      </c>
      <c r="C160" s="182"/>
      <c r="D160" s="183"/>
      <c r="E160" s="176"/>
      <c r="F160" s="176"/>
      <c r="G160" s="26"/>
      <c r="H160" s="26"/>
    </row>
    <row r="161" spans="2:8" x14ac:dyDescent="0.25">
      <c r="B161" s="181" t="s">
        <v>76</v>
      </c>
      <c r="C161" s="182"/>
      <c r="D161" s="183"/>
      <c r="E161" s="184">
        <v>1600</v>
      </c>
      <c r="F161" s="184"/>
      <c r="G161" s="27"/>
      <c r="H161" s="27"/>
    </row>
    <row r="162" spans="2:8" x14ac:dyDescent="0.25">
      <c r="B162" s="181" t="s">
        <v>77</v>
      </c>
      <c r="C162" s="182"/>
      <c r="D162" s="183"/>
      <c r="E162" s="184"/>
      <c r="F162" s="184"/>
      <c r="G162" s="27"/>
      <c r="H162" s="27"/>
    </row>
    <row r="163" spans="2:8" x14ac:dyDescent="0.25">
      <c r="B163" s="177" t="s">
        <v>78</v>
      </c>
      <c r="C163" s="178"/>
      <c r="D163" s="179"/>
      <c r="E163" s="180"/>
      <c r="F163" s="180"/>
      <c r="G163" s="25"/>
      <c r="H163" s="25"/>
    </row>
    <row r="164" spans="2:8" x14ac:dyDescent="0.25">
      <c r="B164" s="181" t="s">
        <v>79</v>
      </c>
      <c r="C164" s="182"/>
      <c r="D164" s="183"/>
      <c r="E164" s="184"/>
      <c r="F164" s="184"/>
      <c r="G164" s="27"/>
      <c r="H164" s="27"/>
    </row>
    <row r="165" spans="2:8" x14ac:dyDescent="0.25">
      <c r="B165" s="177" t="s">
        <v>80</v>
      </c>
      <c r="C165" s="178"/>
      <c r="D165" s="179"/>
      <c r="E165" s="184"/>
      <c r="F165" s="184"/>
      <c r="G165" s="27"/>
      <c r="H165" s="27"/>
    </row>
    <row r="166" spans="2:8" x14ac:dyDescent="0.25">
      <c r="B166" s="16"/>
      <c r="C166" s="16"/>
      <c r="D166" s="16"/>
      <c r="E166" s="17"/>
      <c r="F166" s="17"/>
      <c r="G166" s="17"/>
      <c r="H166" s="17"/>
    </row>
    <row r="167" spans="2:8" ht="36" customHeight="1" x14ac:dyDescent="0.25">
      <c r="B167" s="185" t="s">
        <v>115</v>
      </c>
      <c r="C167" s="186"/>
      <c r="D167" s="186"/>
      <c r="E167" s="186"/>
      <c r="F167" s="21" t="s">
        <v>116</v>
      </c>
    </row>
    <row r="168" spans="2:8" ht="14.45" customHeight="1" x14ac:dyDescent="0.25">
      <c r="B168" s="187" t="s">
        <v>117</v>
      </c>
      <c r="C168" s="188" t="s">
        <v>118</v>
      </c>
      <c r="D168" s="190" t="s">
        <v>119</v>
      </c>
      <c r="E168" s="191"/>
      <c r="F168" s="4"/>
    </row>
    <row r="169" spans="2:8" x14ac:dyDescent="0.25">
      <c r="B169" s="187"/>
      <c r="C169" s="189"/>
      <c r="D169" s="62" t="s">
        <v>120</v>
      </c>
      <c r="E169" s="62" t="s">
        <v>121</v>
      </c>
      <c r="F169" s="4"/>
    </row>
    <row r="170" spans="2:8" x14ac:dyDescent="0.25">
      <c r="B170" s="35"/>
      <c r="C170" s="34"/>
      <c r="D170" s="4"/>
      <c r="E170" s="4"/>
      <c r="F170" s="4"/>
    </row>
    <row r="171" spans="2:8" x14ac:dyDescent="0.25">
      <c r="B171" s="35"/>
      <c r="C171" s="35"/>
      <c r="D171" s="4"/>
      <c r="E171" s="4"/>
      <c r="F171" s="4"/>
    </row>
    <row r="172" spans="2:8" x14ac:dyDescent="0.25">
      <c r="B172" s="120"/>
      <c r="C172" s="120"/>
      <c r="D172" s="121"/>
      <c r="E172" s="121"/>
      <c r="F172" s="121"/>
    </row>
    <row r="173" spans="2:8" x14ac:dyDescent="0.25">
      <c r="B173" s="120" t="s">
        <v>247</v>
      </c>
      <c r="C173" s="120"/>
      <c r="D173" s="121" t="s">
        <v>248</v>
      </c>
      <c r="E173" s="121"/>
      <c r="F173" s="121"/>
    </row>
  </sheetData>
  <mergeCells count="181">
    <mergeCell ref="B67:C67"/>
    <mergeCell ref="B68:C68"/>
    <mergeCell ref="B69:C69"/>
    <mergeCell ref="B70:C70"/>
    <mergeCell ref="B164:D164"/>
    <mergeCell ref="E164:F164"/>
    <mergeCell ref="B165:D165"/>
    <mergeCell ref="E165:F165"/>
    <mergeCell ref="B167:E167"/>
    <mergeCell ref="B158:C158"/>
    <mergeCell ref="E158:F158"/>
    <mergeCell ref="B159:D159"/>
    <mergeCell ref="E159:F159"/>
    <mergeCell ref="B160:D160"/>
    <mergeCell ref="E160:F160"/>
    <mergeCell ref="B155:C155"/>
    <mergeCell ref="E155:F155"/>
    <mergeCell ref="B156:C156"/>
    <mergeCell ref="E156:F156"/>
    <mergeCell ref="B157:C157"/>
    <mergeCell ref="E157:F157"/>
    <mergeCell ref="B152:C152"/>
    <mergeCell ref="E152:F152"/>
    <mergeCell ref="B153:C153"/>
    <mergeCell ref="B168:B169"/>
    <mergeCell ref="C168:C169"/>
    <mergeCell ref="D168:E168"/>
    <mergeCell ref="B161:D161"/>
    <mergeCell ref="E161:F161"/>
    <mergeCell ref="B162:D162"/>
    <mergeCell ref="E162:F162"/>
    <mergeCell ref="B163:D163"/>
    <mergeCell ref="E163:F163"/>
    <mergeCell ref="E153:F153"/>
    <mergeCell ref="B154:C154"/>
    <mergeCell ref="E154:F154"/>
    <mergeCell ref="B147:D147"/>
    <mergeCell ref="E147:F147"/>
    <mergeCell ref="B149:D149"/>
    <mergeCell ref="E149:F149"/>
    <mergeCell ref="B151:C151"/>
    <mergeCell ref="E151:F151"/>
    <mergeCell ref="B144:D144"/>
    <mergeCell ref="E144:F144"/>
    <mergeCell ref="B145:D145"/>
    <mergeCell ref="E145:F145"/>
    <mergeCell ref="B146:D146"/>
    <mergeCell ref="E146:F146"/>
    <mergeCell ref="G108:G109"/>
    <mergeCell ref="H108:H109"/>
    <mergeCell ref="B141:D141"/>
    <mergeCell ref="E141:F141"/>
    <mergeCell ref="B143:D143"/>
    <mergeCell ref="E143:F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B101:C101"/>
    <mergeCell ref="B102:C102"/>
    <mergeCell ref="B104:C104"/>
    <mergeCell ref="B105:C105"/>
    <mergeCell ref="B107:F107"/>
    <mergeCell ref="B108:B109"/>
    <mergeCell ref="C108:D108"/>
    <mergeCell ref="E108:E109"/>
    <mergeCell ref="F108:F109"/>
    <mergeCell ref="B95:C95"/>
    <mergeCell ref="B96:C96"/>
    <mergeCell ref="B97:C97"/>
    <mergeCell ref="B98:C98"/>
    <mergeCell ref="B99:C99"/>
    <mergeCell ref="B100:C100"/>
    <mergeCell ref="B93:G93"/>
    <mergeCell ref="B94:C94"/>
    <mergeCell ref="B90:C90"/>
    <mergeCell ref="B91:C9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50:C50"/>
    <mergeCell ref="B51:C51"/>
    <mergeCell ref="B52:C52"/>
    <mergeCell ref="B53:C53"/>
    <mergeCell ref="B54:C54"/>
    <mergeCell ref="B71:C71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C132:D132"/>
    <mergeCell ref="C133:D133"/>
    <mergeCell ref="C134:D134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</mergeCells>
  <pageMargins left="0.11811023622047245" right="0.11811023622047245" top="0.15748031496062992" bottom="0.15748031496062992" header="0.31496062992125984" footer="0.31496062992125984"/>
  <pageSetup paperSize="9" scale="57" orientation="portrait" r:id="rId1"/>
  <headerFooter alignWithMargins="0"/>
  <rowBreaks count="2" manualBreakCount="2">
    <brk id="71" max="7" man="1"/>
    <brk id="11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5"/>
  <sheetViews>
    <sheetView view="pageBreakPreview" topLeftCell="A2" zoomScale="70" zoomScaleSheetLayoutView="70" workbookViewId="0">
      <selection activeCell="E25" sqref="E25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163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161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3631.1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3631.1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/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3631.1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162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84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203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69" t="s">
        <v>20</v>
      </c>
      <c r="F21" s="69" t="s">
        <v>21</v>
      </c>
      <c r="G21" s="69" t="s">
        <v>19</v>
      </c>
      <c r="H21" s="31"/>
    </row>
    <row r="22" spans="1:8" x14ac:dyDescent="0.25">
      <c r="B22" s="223" t="s">
        <v>22</v>
      </c>
      <c r="C22" s="224"/>
      <c r="D22" s="7">
        <f>E22</f>
        <v>58456.42</v>
      </c>
      <c r="E22" s="7">
        <v>58456.42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1468401.5999999999</v>
      </c>
      <c r="E23" s="45">
        <f>E38+D97+C141</f>
        <v>623935.67999999993</v>
      </c>
      <c r="F23" s="7">
        <f>D98+D99+D100+D101+D102+D103+D104+D105</f>
        <v>144555.18</v>
      </c>
      <c r="G23" s="7">
        <f>F112+F113+F114+F115+F116+F117</f>
        <v>699910.74</v>
      </c>
      <c r="H23" s="2"/>
    </row>
    <row r="24" spans="1:8" x14ac:dyDescent="0.25">
      <c r="B24" s="223" t="s">
        <v>24</v>
      </c>
      <c r="C24" s="224"/>
      <c r="D24" s="43">
        <f>E24+F24+G24</f>
        <v>1324304.97</v>
      </c>
      <c r="E24" s="45">
        <f>F38+E97+D139+D140</f>
        <v>616216.53</v>
      </c>
      <c r="F24" s="7">
        <f>E98+E99+E101+E102+E105+E100+E103+E104</f>
        <v>156479.71999999997</v>
      </c>
      <c r="G24" s="7">
        <f>G118</f>
        <v>551608.72</v>
      </c>
      <c r="H24" s="2"/>
    </row>
    <row r="25" spans="1:8" x14ac:dyDescent="0.25">
      <c r="B25" s="223" t="s">
        <v>25</v>
      </c>
      <c r="C25" s="224"/>
      <c r="D25" s="7">
        <f>E25+F25+G25</f>
        <v>1184101.1299999999</v>
      </c>
      <c r="E25" s="7">
        <f>523322.9+D141</f>
        <v>595485.63</v>
      </c>
      <c r="F25" s="7">
        <v>137006.78</v>
      </c>
      <c r="G25" s="7">
        <v>451608.72</v>
      </c>
      <c r="H25" s="2"/>
    </row>
    <row r="26" spans="1:8" x14ac:dyDescent="0.25">
      <c r="B26" s="223" t="s">
        <v>253</v>
      </c>
      <c r="C26" s="224"/>
      <c r="D26" s="7">
        <f>E26+F26+G26</f>
        <v>258889.54999999996</v>
      </c>
      <c r="E26" s="45">
        <f>G38+G97+F141</f>
        <v>67058.06</v>
      </c>
      <c r="F26" s="45">
        <f>G106-G97</f>
        <v>33703.149999999994</v>
      </c>
      <c r="G26" s="45">
        <f>H118</f>
        <v>158128.33999999997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28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66" t="s">
        <v>30</v>
      </c>
      <c r="F30" s="68" t="s">
        <v>31</v>
      </c>
      <c r="G30" s="64" t="s">
        <v>32</v>
      </c>
      <c r="H30" s="9"/>
    </row>
    <row r="31" spans="1:8" x14ac:dyDescent="0.25">
      <c r="B31" s="174" t="s">
        <v>33</v>
      </c>
      <c r="C31" s="212"/>
      <c r="D31" s="175"/>
      <c r="E31" s="61">
        <v>67144</v>
      </c>
      <c r="F31" s="40">
        <v>68154.34</v>
      </c>
      <c r="G31" s="61">
        <f>11230.22-5918.7-40</f>
        <v>5271.5199999999995</v>
      </c>
      <c r="H31" s="5"/>
    </row>
    <row r="32" spans="1:8" x14ac:dyDescent="0.25">
      <c r="B32" s="174" t="s">
        <v>34</v>
      </c>
      <c r="C32" s="212"/>
      <c r="D32" s="175"/>
      <c r="E32" s="61">
        <v>88940.76</v>
      </c>
      <c r="F32" s="40">
        <v>91062.19</v>
      </c>
      <c r="G32" s="61">
        <f>14847.14-7697.96-51.18</f>
        <v>7097.9999999999991</v>
      </c>
      <c r="H32" s="5"/>
    </row>
    <row r="33" spans="2:8" x14ac:dyDescent="0.25">
      <c r="B33" s="174" t="s">
        <v>35</v>
      </c>
      <c r="C33" s="212"/>
      <c r="D33" s="175"/>
      <c r="E33" s="61">
        <v>54031.26</v>
      </c>
      <c r="F33" s="40">
        <v>55244.29</v>
      </c>
      <c r="G33" s="61">
        <f>9093.21-4756.78</f>
        <v>4336.4299999999994</v>
      </c>
      <c r="H33" s="5"/>
    </row>
    <row r="34" spans="2:8" hidden="1" x14ac:dyDescent="0.25">
      <c r="B34" s="174" t="s">
        <v>36</v>
      </c>
      <c r="C34" s="175"/>
      <c r="D34" s="67"/>
      <c r="E34" s="61"/>
      <c r="F34" s="40"/>
      <c r="G34" s="61"/>
      <c r="H34" s="5"/>
    </row>
    <row r="35" spans="2:8" x14ac:dyDescent="0.25">
      <c r="B35" s="174" t="s">
        <v>37</v>
      </c>
      <c r="C35" s="212"/>
      <c r="D35" s="175"/>
      <c r="E35" s="61">
        <v>127452.84</v>
      </c>
      <c r="F35" s="40">
        <v>130508.64</v>
      </c>
      <c r="G35" s="61">
        <f>21274.03-11075.06</f>
        <v>10198.969999999999</v>
      </c>
      <c r="H35" s="5"/>
    </row>
    <row r="36" spans="2:8" x14ac:dyDescent="0.25">
      <c r="B36" s="174" t="s">
        <v>38</v>
      </c>
      <c r="C36" s="212"/>
      <c r="D36" s="175"/>
      <c r="E36" s="61">
        <f>89615.94</f>
        <v>89615.94</v>
      </c>
      <c r="F36" s="40">
        <f>81366.71+3281.15</f>
        <v>84647.86</v>
      </c>
      <c r="G36" s="61">
        <f>13991.34+1808.87+937.22-9295.63</f>
        <v>7441.8000000000011</v>
      </c>
      <c r="H36" s="5"/>
    </row>
    <row r="37" spans="2:8" ht="30" customHeight="1" x14ac:dyDescent="0.25">
      <c r="B37" s="174" t="s">
        <v>39</v>
      </c>
      <c r="C37" s="212"/>
      <c r="D37" s="175"/>
      <c r="E37" s="61">
        <v>87146.4</v>
      </c>
      <c r="F37" s="40">
        <f>86338.79+2862.28</f>
        <v>89201.069999999992</v>
      </c>
      <c r="G37" s="61">
        <f>13794.3+649.82-7480.08</f>
        <v>6964.0399999999991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514331.19999999995</v>
      </c>
      <c r="F38" s="41">
        <f>SUM(F31:F37)</f>
        <v>518818.39</v>
      </c>
      <c r="G38" s="41">
        <f>SUM(G31:G37)</f>
        <v>41310.76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210116.02000000002</v>
      </c>
      <c r="G44" s="123"/>
      <c r="H44" s="123">
        <f t="shared" ref="H44" si="0">H45+H46+H47</f>
        <v>153495.20000000001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67144</v>
      </c>
      <c r="G45" s="112"/>
      <c r="H45" s="105">
        <f>34255.6-9393.56</f>
        <v>24862.04</v>
      </c>
    </row>
    <row r="46" spans="2:8" x14ac:dyDescent="0.25">
      <c r="B46" s="210" t="s">
        <v>49</v>
      </c>
      <c r="C46" s="211"/>
      <c r="D46" s="24">
        <v>2014</v>
      </c>
      <c r="E46" s="10"/>
      <c r="F46" s="105">
        <f>E32</f>
        <v>88940.76</v>
      </c>
      <c r="G46" s="112"/>
      <c r="H46" s="105">
        <f>85631.7-12680.95</f>
        <v>72950.75</v>
      </c>
    </row>
    <row r="47" spans="2:8" x14ac:dyDescent="0.25">
      <c r="B47" s="174" t="s">
        <v>35</v>
      </c>
      <c r="C47" s="175"/>
      <c r="D47" s="24">
        <v>2014</v>
      </c>
      <c r="E47" s="10"/>
      <c r="F47" s="105">
        <f>E33</f>
        <v>54031.26</v>
      </c>
      <c r="G47" s="112"/>
      <c r="H47" s="105">
        <f>63312.4-7629.99</f>
        <v>55682.41</v>
      </c>
    </row>
    <row r="48" spans="2:8" hidden="1" x14ac:dyDescent="0.25">
      <c r="B48" s="174" t="s">
        <v>36</v>
      </c>
      <c r="C48" s="175"/>
      <c r="D48" s="61"/>
      <c r="E48" s="10"/>
      <c r="F48" s="105"/>
      <c r="G48" s="112"/>
      <c r="H48" s="105"/>
    </row>
    <row r="49" spans="2:8" x14ac:dyDescent="0.25">
      <c r="B49" s="202" t="s">
        <v>65</v>
      </c>
      <c r="C49" s="203"/>
      <c r="D49" s="61"/>
      <c r="E49" s="10"/>
      <c r="F49" s="113"/>
      <c r="G49" s="112"/>
      <c r="H49" s="113"/>
    </row>
    <row r="50" spans="2:8" ht="30.75" customHeight="1" x14ac:dyDescent="0.25">
      <c r="B50" s="174" t="s">
        <v>66</v>
      </c>
      <c r="C50" s="175"/>
      <c r="D50" s="169" t="s">
        <v>266</v>
      </c>
      <c r="E50" s="169"/>
      <c r="F50" s="10"/>
      <c r="G50" s="16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268</v>
      </c>
      <c r="F51" s="151">
        <f>8729.98+260</f>
        <v>8989.98</v>
      </c>
      <c r="G51" s="150" t="s">
        <v>275</v>
      </c>
      <c r="H51" s="151">
        <f>8729.98+260</f>
        <v>8989.98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1828</v>
      </c>
      <c r="G52" s="169" t="s">
        <v>267</v>
      </c>
      <c r="H52" s="152">
        <v>2403.33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990+3336.22</f>
        <v>4326.2199999999993</v>
      </c>
      <c r="G53" s="169" t="s">
        <v>267</v>
      </c>
      <c r="H53" s="152">
        <f>828.12+3208.32</f>
        <v>4036.44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ht="16.5" customHeight="1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ht="16.5" customHeight="1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ht="16.5" customHeight="1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ht="16.5" customHeight="1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ht="16.5" customHeight="1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ht="16.5" customHeight="1" x14ac:dyDescent="0.25">
      <c r="B60" s="208" t="s">
        <v>69</v>
      </c>
      <c r="C60" s="209"/>
      <c r="D60" s="108" t="s">
        <v>272</v>
      </c>
      <c r="E60" s="161" t="s">
        <v>534</v>
      </c>
      <c r="F60" s="152">
        <v>111920</v>
      </c>
      <c r="G60" s="161" t="s">
        <v>534</v>
      </c>
      <c r="H60" s="152">
        <v>111920</v>
      </c>
    </row>
    <row r="61" spans="2:8" ht="16.5" customHeight="1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ht="16.5" customHeight="1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ht="16.5" customHeight="1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ht="16.5" customHeight="1" x14ac:dyDescent="0.25">
      <c r="B64" s="243" t="s">
        <v>50</v>
      </c>
      <c r="C64" s="244"/>
      <c r="D64" s="108"/>
      <c r="E64" s="108"/>
      <c r="F64" s="162"/>
      <c r="G64" s="163"/>
      <c r="H64" s="162"/>
    </row>
    <row r="65" spans="2:8" ht="43.5" customHeight="1" x14ac:dyDescent="0.25">
      <c r="B65" s="208" t="s">
        <v>51</v>
      </c>
      <c r="C65" s="209"/>
      <c r="D65" s="153" t="s">
        <v>284</v>
      </c>
      <c r="E65" s="108"/>
      <c r="F65" s="154"/>
      <c r="G65" s="108" t="s">
        <v>271</v>
      </c>
      <c r="H65" s="154"/>
    </row>
    <row r="66" spans="2:8" ht="44.25" customHeight="1" x14ac:dyDescent="0.25">
      <c r="B66" s="208" t="s">
        <v>52</v>
      </c>
      <c r="C66" s="209"/>
      <c r="D66" s="108" t="s">
        <v>285</v>
      </c>
      <c r="E66" s="108"/>
      <c r="F66" s="154"/>
      <c r="G66" s="108" t="s">
        <v>271</v>
      </c>
      <c r="H66" s="154"/>
    </row>
    <row r="67" spans="2:8" ht="48.75" customHeight="1" x14ac:dyDescent="0.25">
      <c r="B67" s="208" t="s">
        <v>53</v>
      </c>
      <c r="C67" s="209"/>
      <c r="D67" s="108" t="s">
        <v>286</v>
      </c>
      <c r="E67" s="108"/>
      <c r="F67" s="154"/>
      <c r="G67" s="108" t="s">
        <v>271</v>
      </c>
      <c r="H67" s="154"/>
    </row>
    <row r="68" spans="2:8" ht="76.5" customHeight="1" x14ac:dyDescent="0.25">
      <c r="B68" s="208" t="s">
        <v>54</v>
      </c>
      <c r="C68" s="209"/>
      <c r="D68" s="150" t="s">
        <v>266</v>
      </c>
      <c r="E68" s="150" t="s">
        <v>271</v>
      </c>
      <c r="F68" s="151">
        <v>6527.38</v>
      </c>
      <c r="G68" s="150" t="s">
        <v>271</v>
      </c>
      <c r="H68" s="151">
        <v>6287.98</v>
      </c>
    </row>
    <row r="69" spans="2:8" ht="16.5" customHeight="1" x14ac:dyDescent="0.25">
      <c r="B69" s="208" t="s">
        <v>55</v>
      </c>
      <c r="C69" s="209"/>
      <c r="D69" s="108" t="s">
        <v>266</v>
      </c>
      <c r="E69" s="108" t="s">
        <v>520</v>
      </c>
      <c r="F69" s="152">
        <v>1232</v>
      </c>
      <c r="G69" s="108"/>
      <c r="H69" s="152"/>
    </row>
    <row r="70" spans="2:8" ht="16.5" customHeight="1" x14ac:dyDescent="0.25">
      <c r="B70" s="208" t="s">
        <v>56</v>
      </c>
      <c r="C70" s="209"/>
      <c r="D70" s="108" t="s">
        <v>266</v>
      </c>
      <c r="E70" s="108" t="s">
        <v>271</v>
      </c>
      <c r="F70" s="152">
        <v>14261.75</v>
      </c>
      <c r="G70" s="108" t="s">
        <v>271</v>
      </c>
      <c r="H70" s="152">
        <v>14261.75</v>
      </c>
    </row>
    <row r="71" spans="2:8" ht="16.5" customHeight="1" x14ac:dyDescent="0.25">
      <c r="B71" s="208" t="s">
        <v>57</v>
      </c>
      <c r="C71" s="209"/>
      <c r="D71" s="108" t="s">
        <v>266</v>
      </c>
      <c r="E71" s="108"/>
      <c r="F71" s="154"/>
      <c r="G71" s="108" t="s">
        <v>271</v>
      </c>
      <c r="H71" s="154"/>
    </row>
    <row r="72" spans="2:8" ht="16.5" customHeight="1" x14ac:dyDescent="0.25">
      <c r="B72" s="208" t="s">
        <v>58</v>
      </c>
      <c r="C72" s="209"/>
      <c r="D72" s="108" t="s">
        <v>266</v>
      </c>
      <c r="E72" s="108"/>
      <c r="F72" s="164"/>
      <c r="G72" s="108" t="s">
        <v>271</v>
      </c>
      <c r="H72" s="164"/>
    </row>
    <row r="73" spans="2:8" x14ac:dyDescent="0.25">
      <c r="B73" s="208" t="s">
        <v>282</v>
      </c>
      <c r="C73" s="209"/>
      <c r="D73" s="108"/>
      <c r="E73" s="108"/>
      <c r="F73" s="154"/>
      <c r="G73" s="108"/>
      <c r="H73" s="154"/>
    </row>
    <row r="74" spans="2:8" x14ac:dyDescent="0.25">
      <c r="B74" s="243" t="s">
        <v>59</v>
      </c>
      <c r="C74" s="244"/>
      <c r="D74" s="108"/>
      <c r="E74" s="108"/>
      <c r="F74" s="162"/>
      <c r="G74" s="108"/>
      <c r="H74" s="162"/>
    </row>
    <row r="75" spans="2:8" ht="37.5" customHeight="1" x14ac:dyDescent="0.25">
      <c r="B75" s="208" t="s">
        <v>60</v>
      </c>
      <c r="C75" s="209"/>
      <c r="D75" s="108" t="s">
        <v>272</v>
      </c>
      <c r="E75" s="108"/>
      <c r="F75" s="154"/>
      <c r="G75" s="108" t="s">
        <v>271</v>
      </c>
      <c r="H75" s="154"/>
    </row>
    <row r="76" spans="2:8" ht="37.5" customHeight="1" x14ac:dyDescent="0.25">
      <c r="B76" s="208" t="s">
        <v>61</v>
      </c>
      <c r="C76" s="209"/>
      <c r="D76" s="108" t="s">
        <v>270</v>
      </c>
      <c r="E76" s="108"/>
      <c r="F76" s="154"/>
      <c r="G76" s="108" t="s">
        <v>271</v>
      </c>
      <c r="H76" s="154"/>
    </row>
    <row r="77" spans="2:8" ht="75" customHeight="1" x14ac:dyDescent="0.25">
      <c r="B77" s="208" t="s">
        <v>62</v>
      </c>
      <c r="C77" s="209"/>
      <c r="D77" s="150" t="s">
        <v>266</v>
      </c>
      <c r="E77" s="150" t="s">
        <v>271</v>
      </c>
      <c r="F77" s="151">
        <f>6988.91+4931.8+3428.52</f>
        <v>15349.23</v>
      </c>
      <c r="G77" s="150" t="s">
        <v>271</v>
      </c>
      <c r="H77" s="151">
        <f>7054.85+4938.39+3456.88</f>
        <v>15450.120000000003</v>
      </c>
    </row>
    <row r="78" spans="2:8" x14ac:dyDescent="0.25">
      <c r="B78" s="208" t="s">
        <v>290</v>
      </c>
      <c r="C78" s="209"/>
      <c r="D78" s="108" t="s">
        <v>291</v>
      </c>
      <c r="E78" s="161" t="s">
        <v>535</v>
      </c>
      <c r="F78" s="152">
        <f>1540+6487.82</f>
        <v>8027.82</v>
      </c>
      <c r="G78" s="108" t="s">
        <v>510</v>
      </c>
      <c r="H78" s="152">
        <f>1336.4+2399.2+342.3</f>
        <v>4077.9</v>
      </c>
    </row>
    <row r="79" spans="2:8" x14ac:dyDescent="0.25">
      <c r="B79" s="208" t="s">
        <v>282</v>
      </c>
      <c r="C79" s="209"/>
      <c r="D79" s="108"/>
      <c r="E79" s="108"/>
      <c r="F79" s="154"/>
      <c r="G79" s="108"/>
      <c r="H79" s="152"/>
    </row>
    <row r="80" spans="2:8" x14ac:dyDescent="0.25">
      <c r="B80" s="243" t="s">
        <v>63</v>
      </c>
      <c r="C80" s="244"/>
      <c r="D80" s="153"/>
      <c r="E80" s="108" t="s">
        <v>271</v>
      </c>
      <c r="F80" s="152">
        <v>12907.29</v>
      </c>
      <c r="G80" s="108" t="s">
        <v>271</v>
      </c>
      <c r="H80" s="152">
        <v>12907.29</v>
      </c>
    </row>
    <row r="81" spans="2:11" x14ac:dyDescent="0.25">
      <c r="B81" s="243" t="s">
        <v>64</v>
      </c>
      <c r="C81" s="244"/>
      <c r="D81" s="108"/>
      <c r="E81" s="108" t="s">
        <v>271</v>
      </c>
      <c r="F81" s="152">
        <v>10944.9</v>
      </c>
      <c r="G81" s="108" t="s">
        <v>271</v>
      </c>
      <c r="H81" s="152">
        <v>10702.69</v>
      </c>
    </row>
    <row r="82" spans="2:11" x14ac:dyDescent="0.25">
      <c r="B82" s="243" t="s">
        <v>294</v>
      </c>
      <c r="C82" s="244"/>
      <c r="D82" s="108"/>
      <c r="E82" s="108"/>
      <c r="F82" s="162"/>
      <c r="G82" s="163"/>
      <c r="H82" s="162"/>
    </row>
    <row r="83" spans="2:11" ht="14.25" customHeight="1" x14ac:dyDescent="0.25">
      <c r="B83" s="208" t="s">
        <v>295</v>
      </c>
      <c r="C83" s="209"/>
      <c r="D83" s="153" t="s">
        <v>296</v>
      </c>
      <c r="E83" s="108"/>
      <c r="F83" s="152"/>
      <c r="G83" s="108"/>
      <c r="H83" s="152"/>
    </row>
    <row r="84" spans="2:11" ht="17.25" customHeight="1" x14ac:dyDescent="0.25">
      <c r="B84" s="208" t="s">
        <v>71</v>
      </c>
      <c r="C84" s="209"/>
      <c r="D84" s="153" t="s">
        <v>297</v>
      </c>
      <c r="E84" s="108"/>
      <c r="F84" s="152"/>
      <c r="G84" s="108"/>
      <c r="H84" s="152"/>
    </row>
    <row r="85" spans="2:11" ht="19.5" customHeight="1" x14ac:dyDescent="0.25">
      <c r="B85" s="208" t="s">
        <v>364</v>
      </c>
      <c r="C85" s="209"/>
      <c r="D85" s="153"/>
      <c r="E85" s="108"/>
      <c r="F85" s="152"/>
      <c r="G85" s="108"/>
      <c r="H85" s="152"/>
    </row>
    <row r="86" spans="2:11" ht="17.25" customHeight="1" x14ac:dyDescent="0.25">
      <c r="B86" s="208" t="s">
        <v>72</v>
      </c>
      <c r="C86" s="209"/>
      <c r="D86" s="108" t="s">
        <v>299</v>
      </c>
      <c r="E86" s="108" t="s">
        <v>536</v>
      </c>
      <c r="F86" s="152">
        <v>1549.7</v>
      </c>
      <c r="G86" s="108" t="s">
        <v>536</v>
      </c>
      <c r="H86" s="152">
        <v>1549.7</v>
      </c>
    </row>
    <row r="87" spans="2:11" x14ac:dyDescent="0.25">
      <c r="B87" s="208" t="s">
        <v>301</v>
      </c>
      <c r="C87" s="209"/>
      <c r="D87" s="108" t="s">
        <v>291</v>
      </c>
      <c r="E87" s="108" t="s">
        <v>271</v>
      </c>
      <c r="F87" s="152">
        <v>12191.04</v>
      </c>
      <c r="G87" s="108" t="s">
        <v>271</v>
      </c>
      <c r="H87" s="161">
        <v>12191.04</v>
      </c>
    </row>
    <row r="88" spans="2:11" x14ac:dyDescent="0.25">
      <c r="B88" s="208" t="s">
        <v>282</v>
      </c>
      <c r="C88" s="209"/>
      <c r="D88" s="108"/>
      <c r="E88" s="108"/>
      <c r="F88" s="154"/>
      <c r="G88" s="108"/>
      <c r="H88" s="154"/>
    </row>
    <row r="89" spans="2:11" x14ac:dyDescent="0.25">
      <c r="B89" s="208" t="s">
        <v>406</v>
      </c>
      <c r="C89" s="209"/>
      <c r="D89" s="108" t="s">
        <v>407</v>
      </c>
      <c r="E89" s="108"/>
      <c r="F89" s="152"/>
      <c r="G89" s="108"/>
      <c r="H89" s="152"/>
    </row>
    <row r="90" spans="2:11" x14ac:dyDescent="0.25">
      <c r="B90" s="208" t="s">
        <v>302</v>
      </c>
      <c r="C90" s="209"/>
      <c r="D90" s="108" t="s">
        <v>291</v>
      </c>
      <c r="E90" s="108" t="s">
        <v>537</v>
      </c>
      <c r="F90" s="152">
        <v>5406.52</v>
      </c>
      <c r="G90" s="108" t="s">
        <v>537</v>
      </c>
      <c r="H90" s="152">
        <v>4447.63</v>
      </c>
      <c r="K90" s="5"/>
    </row>
    <row r="91" spans="2:11" x14ac:dyDescent="0.25">
      <c r="B91" s="208" t="s">
        <v>368</v>
      </c>
      <c r="C91" s="209"/>
      <c r="D91" s="108"/>
      <c r="E91" s="108"/>
      <c r="F91" s="152">
        <v>5000</v>
      </c>
      <c r="G91" s="108"/>
      <c r="H91" s="152">
        <v>5000</v>
      </c>
    </row>
    <row r="92" spans="2:11" ht="38.25" customHeight="1" x14ac:dyDescent="0.25">
      <c r="B92" s="208" t="s">
        <v>320</v>
      </c>
      <c r="C92" s="209"/>
      <c r="D92" s="108"/>
      <c r="E92" s="108"/>
      <c r="F92" s="152">
        <v>74218.25</v>
      </c>
      <c r="G92" s="108"/>
      <c r="H92" s="152">
        <v>74218.25</v>
      </c>
    </row>
    <row r="93" spans="2:11" ht="30" customHeight="1" x14ac:dyDescent="0.25">
      <c r="B93" s="206" t="s">
        <v>73</v>
      </c>
      <c r="C93" s="207"/>
      <c r="D93" s="108"/>
      <c r="E93" s="108"/>
      <c r="F93" s="165">
        <v>498000</v>
      </c>
      <c r="G93" s="165"/>
      <c r="H93" s="165">
        <f>523322.9-42272.4</f>
        <v>481050.5</v>
      </c>
    </row>
    <row r="94" spans="2:11" x14ac:dyDescent="0.25">
      <c r="B94" s="9"/>
      <c r="C94" s="9"/>
      <c r="D94" s="5"/>
      <c r="E94" s="5"/>
      <c r="F94" s="15"/>
      <c r="G94" s="5"/>
      <c r="H94" s="15"/>
    </row>
    <row r="95" spans="2:11" x14ac:dyDescent="0.25">
      <c r="B95" s="201" t="s">
        <v>81</v>
      </c>
      <c r="C95" s="201"/>
      <c r="D95" s="201"/>
      <c r="E95" s="201"/>
      <c r="F95" s="201"/>
      <c r="G95" s="201"/>
    </row>
    <row r="96" spans="2:11" ht="63" customHeight="1" x14ac:dyDescent="0.25">
      <c r="B96" s="194" t="s">
        <v>29</v>
      </c>
      <c r="C96" s="194"/>
      <c r="D96" s="66" t="s">
        <v>30</v>
      </c>
      <c r="E96" s="66" t="s">
        <v>31</v>
      </c>
      <c r="F96" s="64" t="s">
        <v>82</v>
      </c>
      <c r="G96" s="64" t="s">
        <v>32</v>
      </c>
    </row>
    <row r="97" spans="2:8" x14ac:dyDescent="0.25">
      <c r="B97" s="181" t="s">
        <v>83</v>
      </c>
      <c r="C97" s="183"/>
      <c r="D97" s="61">
        <v>37327.879999999997</v>
      </c>
      <c r="E97" s="61">
        <v>25235.41</v>
      </c>
      <c r="F97" s="61">
        <f>E97</f>
        <v>25235.41</v>
      </c>
      <c r="G97" s="63">
        <f>18003.05-9331.97</f>
        <v>8671.08</v>
      </c>
    </row>
    <row r="98" spans="2:8" x14ac:dyDescent="0.25">
      <c r="B98" s="181" t="s">
        <v>84</v>
      </c>
      <c r="C98" s="183"/>
      <c r="D98" s="61">
        <f>20976.55+5681.32+6485.9+11304.17</f>
        <v>44447.939999999995</v>
      </c>
      <c r="E98" s="61">
        <f>20760.26+5688.85+6283.29+19472.94</f>
        <v>52205.34</v>
      </c>
      <c r="F98" s="61">
        <f t="shared" ref="F98:F105" si="1">E98</f>
        <v>52205.34</v>
      </c>
      <c r="G98" s="63">
        <f>9821.87+2771.11+2800.53-1619.5-1418.6-5237.75+1794.05-949.15</f>
        <v>7962.5600000000013</v>
      </c>
    </row>
    <row r="99" spans="2:8" ht="30" customHeight="1" x14ac:dyDescent="0.25">
      <c r="B99" s="174" t="s">
        <v>85</v>
      </c>
      <c r="C99" s="175"/>
      <c r="D99" s="61">
        <v>13071.96</v>
      </c>
      <c r="E99" s="61">
        <v>13138.86</v>
      </c>
      <c r="F99" s="61">
        <f t="shared" si="1"/>
        <v>13138.86</v>
      </c>
      <c r="G99" s="63">
        <f>6365.8-3267.99</f>
        <v>3097.8100000000004</v>
      </c>
    </row>
    <row r="100" spans="2:8" ht="30" customHeight="1" x14ac:dyDescent="0.25">
      <c r="B100" s="174" t="s">
        <v>86</v>
      </c>
      <c r="C100" s="175"/>
      <c r="D100" s="61">
        <v>3340.64</v>
      </c>
      <c r="E100" s="61">
        <v>3367.71</v>
      </c>
      <c r="F100" s="61">
        <f t="shared" si="1"/>
        <v>3367.71</v>
      </c>
      <c r="G100" s="63">
        <f>1635.85-835.16</f>
        <v>800.68999999999994</v>
      </c>
    </row>
    <row r="101" spans="2:8" x14ac:dyDescent="0.25">
      <c r="B101" s="174" t="s">
        <v>87</v>
      </c>
      <c r="C101" s="175"/>
      <c r="D101" s="61">
        <v>48366.28</v>
      </c>
      <c r="E101" s="61">
        <f>1362.24+47603.82</f>
        <v>48966.06</v>
      </c>
      <c r="F101" s="61">
        <f t="shared" si="1"/>
        <v>48966.06</v>
      </c>
      <c r="G101" s="63">
        <f>4469.47+19992.55-12091.57</f>
        <v>12370.45</v>
      </c>
    </row>
    <row r="102" spans="2:8" x14ac:dyDescent="0.25">
      <c r="B102" s="174" t="s">
        <v>88</v>
      </c>
      <c r="C102" s="175"/>
      <c r="D102" s="61">
        <v>2323.96</v>
      </c>
      <c r="E102" s="61">
        <v>2363.88</v>
      </c>
      <c r="F102" s="61">
        <f t="shared" si="1"/>
        <v>2363.88</v>
      </c>
      <c r="G102" s="63">
        <f>1126.55-580.99</f>
        <v>545.55999999999995</v>
      </c>
    </row>
    <row r="103" spans="2:8" x14ac:dyDescent="0.25">
      <c r="B103" s="174" t="s">
        <v>150</v>
      </c>
      <c r="C103" s="175"/>
      <c r="D103" s="61">
        <v>10080</v>
      </c>
      <c r="E103" s="61">
        <v>10351.27</v>
      </c>
      <c r="F103" s="61">
        <f t="shared" si="1"/>
        <v>10351.27</v>
      </c>
      <c r="G103" s="63">
        <f>4796.36-2520</f>
        <v>2276.3599999999997</v>
      </c>
    </row>
    <row r="104" spans="2:8" x14ac:dyDescent="0.25">
      <c r="B104" s="174" t="s">
        <v>89</v>
      </c>
      <c r="C104" s="175"/>
      <c r="D104" s="61">
        <v>8400</v>
      </c>
      <c r="E104" s="61">
        <v>8467.08</v>
      </c>
      <c r="F104" s="61">
        <f t="shared" si="1"/>
        <v>8467.08</v>
      </c>
      <c r="G104" s="63">
        <f>4176.36-2100</f>
        <v>2076.3599999999997</v>
      </c>
    </row>
    <row r="105" spans="2:8" ht="30" x14ac:dyDescent="0.25">
      <c r="B105" s="59" t="s">
        <v>81</v>
      </c>
      <c r="C105" s="60"/>
      <c r="D105" s="61">
        <v>14524.4</v>
      </c>
      <c r="E105" s="61">
        <f>14609.91+2950.01+4.25+55.35</f>
        <v>17619.519999999997</v>
      </c>
      <c r="F105" s="61">
        <f t="shared" si="1"/>
        <v>17619.519999999997</v>
      </c>
      <c r="G105" s="63">
        <f>7172.48+643.83+27.73+360.42-3631.1</f>
        <v>4573.3599999999988</v>
      </c>
    </row>
    <row r="106" spans="2:8" ht="18.75" customHeight="1" x14ac:dyDescent="0.25">
      <c r="B106" s="202" t="s">
        <v>90</v>
      </c>
      <c r="C106" s="203"/>
      <c r="D106" s="65">
        <f>SUM(D97:D105)</f>
        <v>181883.06</v>
      </c>
      <c r="E106" s="65">
        <f>SUM(E97:E105)</f>
        <v>181715.12999999998</v>
      </c>
      <c r="F106" s="61">
        <f>E106</f>
        <v>181715.12999999998</v>
      </c>
      <c r="G106" s="65">
        <f>SUM(G97:G105)</f>
        <v>42374.229999999996</v>
      </c>
    </row>
    <row r="107" spans="2:8" x14ac:dyDescent="0.25">
      <c r="B107" s="202" t="s">
        <v>91</v>
      </c>
      <c r="C107" s="203"/>
      <c r="D107" s="70">
        <f>D106+F118+E38+C141</f>
        <v>1468401.6</v>
      </c>
      <c r="E107" s="70">
        <f>E106+G118+F38+D141</f>
        <v>1324304.97</v>
      </c>
      <c r="F107" s="70">
        <f>E107</f>
        <v>1324304.97</v>
      </c>
      <c r="G107" s="70">
        <f>G38+G106+H118+F141</f>
        <v>258889.54999999996</v>
      </c>
    </row>
    <row r="108" spans="2:8" x14ac:dyDescent="0.25">
      <c r="B108" s="16"/>
      <c r="C108" s="16"/>
      <c r="D108" s="16"/>
      <c r="E108" s="17"/>
      <c r="F108" s="17"/>
      <c r="G108" s="17"/>
      <c r="H108" s="17"/>
    </row>
    <row r="109" spans="2:8" x14ac:dyDescent="0.25">
      <c r="B109" s="204" t="s">
        <v>92</v>
      </c>
      <c r="C109" s="201"/>
      <c r="D109" s="201"/>
      <c r="E109" s="201"/>
      <c r="F109" s="201"/>
    </row>
    <row r="110" spans="2:8" ht="38.25" customHeight="1" x14ac:dyDescent="0.25">
      <c r="B110" s="194" t="s">
        <v>29</v>
      </c>
      <c r="C110" s="194" t="s">
        <v>93</v>
      </c>
      <c r="D110" s="194"/>
      <c r="E110" s="205" t="s">
        <v>94</v>
      </c>
      <c r="F110" s="194" t="s">
        <v>30</v>
      </c>
      <c r="G110" s="194" t="s">
        <v>31</v>
      </c>
      <c r="H110" s="195" t="s">
        <v>95</v>
      </c>
    </row>
    <row r="111" spans="2:8" ht="35.25" customHeight="1" x14ac:dyDescent="0.25">
      <c r="B111" s="194"/>
      <c r="C111" s="66" t="s">
        <v>96</v>
      </c>
      <c r="D111" s="19" t="s">
        <v>97</v>
      </c>
      <c r="E111" s="205"/>
      <c r="F111" s="194"/>
      <c r="G111" s="194"/>
      <c r="H111" s="195"/>
    </row>
    <row r="112" spans="2:8" x14ac:dyDescent="0.25">
      <c r="B112" s="10" t="s">
        <v>98</v>
      </c>
      <c r="C112" s="61">
        <v>1400.08</v>
      </c>
      <c r="D112" s="42">
        <v>1439.26</v>
      </c>
      <c r="E112" s="110">
        <v>207.5</v>
      </c>
      <c r="F112" s="61">
        <f>-1507.63+298621.88+1507.63</f>
        <v>298621.88</v>
      </c>
      <c r="G112" s="61">
        <f>334.01+170939.77</f>
        <v>171273.78</v>
      </c>
      <c r="H112" s="61">
        <f>775.24+172739.27-120225.76</f>
        <v>53288.749999999985</v>
      </c>
    </row>
    <row r="113" spans="2:8" x14ac:dyDescent="0.25">
      <c r="B113" s="10" t="s">
        <v>147</v>
      </c>
      <c r="C113" s="61">
        <v>22.15</v>
      </c>
      <c r="D113" s="42">
        <v>26.44</v>
      </c>
      <c r="E113" s="110">
        <v>1322.64</v>
      </c>
      <c r="F113" s="61">
        <f>134438.58-1529.04+16793.5-2239.29+3867.36-490.58+31103.4-179.25</f>
        <v>181764.67999999996</v>
      </c>
      <c r="G113" s="61">
        <f>125328.03+13793.79+3155.32+27943.78</f>
        <v>170220.92</v>
      </c>
      <c r="H113" s="61">
        <f>74760.21+4442.93+990.17+16837.68-37241.41-2237.76-2378.14+2958.03-578.72+656.99-9061.86-699.78</f>
        <v>48448.340000000011</v>
      </c>
    </row>
    <row r="114" spans="2:8" x14ac:dyDescent="0.25">
      <c r="B114" s="10" t="s">
        <v>99</v>
      </c>
      <c r="C114" s="61">
        <v>18.43</v>
      </c>
      <c r="D114" s="42">
        <v>19.22</v>
      </c>
      <c r="E114" s="110">
        <v>1962</v>
      </c>
      <c r="F114" s="61">
        <f>6053.05+185.23+31637.31-1650.5</f>
        <v>36225.090000000004</v>
      </c>
      <c r="G114" s="61">
        <f>5156.42+31633.74+0.2</f>
        <v>36790.36</v>
      </c>
      <c r="H114" s="61">
        <f>3324.78+17763.98+0.16-1307.4+209.49-7476.2-209.49</f>
        <v>12305.319999999998</v>
      </c>
    </row>
    <row r="115" spans="2:8" x14ac:dyDescent="0.25">
      <c r="B115" s="10" t="s">
        <v>100</v>
      </c>
      <c r="C115" s="61">
        <v>12.31</v>
      </c>
      <c r="D115" s="42">
        <v>12.84</v>
      </c>
      <c r="E115" s="110">
        <v>3214.08</v>
      </c>
      <c r="F115" s="61">
        <f>36240.11-1070.99-127.94</f>
        <v>35041.18</v>
      </c>
      <c r="G115" s="61">
        <f>34742.92+13.85</f>
        <v>34756.769999999997</v>
      </c>
      <c r="H115" s="61">
        <f>20488.6-9395.19-479.78</f>
        <v>10613.629999999997</v>
      </c>
    </row>
    <row r="116" spans="2:8" x14ac:dyDescent="0.25">
      <c r="B116" s="10" t="s">
        <v>101</v>
      </c>
      <c r="C116" s="61" t="s">
        <v>145</v>
      </c>
      <c r="D116" s="42" t="s">
        <v>146</v>
      </c>
      <c r="E116" s="110">
        <v>52567.43</v>
      </c>
      <c r="F116" s="61">
        <f>19732.68+1115.99+119388.46-5438.33</f>
        <v>134798.80000000002</v>
      </c>
      <c r="G116" s="61">
        <f>15558.22+111582.95</f>
        <v>127141.17</v>
      </c>
      <c r="H116" s="61">
        <f>12207.09+61105.24-5975.99-2470.79-30969.86+230.68</f>
        <v>34126.369999999995</v>
      </c>
    </row>
    <row r="117" spans="2:8" x14ac:dyDescent="0.25">
      <c r="B117" s="10" t="s">
        <v>102</v>
      </c>
      <c r="C117" s="61">
        <v>2.2999999999999998</v>
      </c>
      <c r="D117" s="42">
        <v>2.39</v>
      </c>
      <c r="E117" s="110">
        <v>5198.9399999999996</v>
      </c>
      <c r="F117" s="61">
        <f>11871.9+1587.21</f>
        <v>13459.11</v>
      </c>
      <c r="G117" s="61">
        <v>11425.72</v>
      </c>
      <c r="H117" s="61">
        <f>2549.93-3267.49+63.49</f>
        <v>-654.06999999999994</v>
      </c>
    </row>
    <row r="118" spans="2:8" x14ac:dyDescent="0.25">
      <c r="B118" s="11" t="s">
        <v>103</v>
      </c>
      <c r="C118" s="65"/>
      <c r="D118" s="42"/>
      <c r="E118" s="4"/>
      <c r="F118" s="65">
        <f>SUM(F112:F117)</f>
        <v>699910.74</v>
      </c>
      <c r="G118" s="65">
        <f>SUM(G112:G117)</f>
        <v>551608.72</v>
      </c>
      <c r="H118" s="65">
        <f>SUM(H112:H117)</f>
        <v>158128.33999999997</v>
      </c>
    </row>
    <row r="119" spans="2:8" x14ac:dyDescent="0.25">
      <c r="B119" s="16"/>
      <c r="C119" s="16"/>
      <c r="D119" s="16"/>
      <c r="E119" s="17"/>
      <c r="F119" s="17"/>
      <c r="G119" s="17"/>
      <c r="H119" s="17"/>
    </row>
    <row r="120" spans="2:8" x14ac:dyDescent="0.25">
      <c r="B120" s="16"/>
      <c r="C120" s="16" t="s">
        <v>244</v>
      </c>
      <c r="D120" s="16"/>
      <c r="E120" s="17"/>
      <c r="F120" s="17"/>
      <c r="G120" s="17"/>
      <c r="H120" s="17"/>
    </row>
    <row r="121" spans="2:8" x14ac:dyDescent="0.25">
      <c r="B121" s="137" t="s">
        <v>228</v>
      </c>
      <c r="C121" s="137" t="s">
        <v>229</v>
      </c>
      <c r="D121" s="137"/>
      <c r="E121" s="131" t="s">
        <v>230</v>
      </c>
      <c r="F121" s="17"/>
      <c r="G121" s="17"/>
      <c r="H121" s="17"/>
    </row>
    <row r="122" spans="2:8" x14ac:dyDescent="0.25">
      <c r="B122" s="133" t="s">
        <v>231</v>
      </c>
      <c r="C122" s="199">
        <v>2</v>
      </c>
      <c r="D122" s="200"/>
      <c r="E122" s="105">
        <v>100</v>
      </c>
      <c r="F122" s="17"/>
      <c r="G122" s="17"/>
      <c r="H122" s="17"/>
    </row>
    <row r="123" spans="2:8" x14ac:dyDescent="0.25">
      <c r="B123" s="133" t="s">
        <v>232</v>
      </c>
      <c r="C123" s="199">
        <v>2</v>
      </c>
      <c r="D123" s="200"/>
      <c r="E123" s="105">
        <v>100</v>
      </c>
      <c r="F123" s="17"/>
      <c r="G123" s="17"/>
      <c r="H123" s="17"/>
    </row>
    <row r="124" spans="2:8" x14ac:dyDescent="0.25">
      <c r="B124" s="133" t="s">
        <v>233</v>
      </c>
      <c r="C124" s="199"/>
      <c r="D124" s="200"/>
      <c r="E124" s="105"/>
      <c r="F124" s="17"/>
      <c r="G124" s="17"/>
      <c r="H124" s="17"/>
    </row>
    <row r="125" spans="2:8" x14ac:dyDescent="0.25">
      <c r="B125" s="133" t="s">
        <v>234</v>
      </c>
      <c r="C125" s="199"/>
      <c r="D125" s="200"/>
      <c r="E125" s="105"/>
      <c r="F125" s="17"/>
      <c r="G125" s="17"/>
      <c r="H125" s="17"/>
    </row>
    <row r="126" spans="2:8" x14ac:dyDescent="0.25">
      <c r="B126" s="133" t="s">
        <v>235</v>
      </c>
      <c r="C126" s="199">
        <v>2</v>
      </c>
      <c r="D126" s="200"/>
      <c r="E126" s="105">
        <v>100</v>
      </c>
      <c r="F126" s="17"/>
      <c r="G126" s="17"/>
      <c r="H126" s="17"/>
    </row>
    <row r="127" spans="2:8" x14ac:dyDescent="0.25">
      <c r="B127" s="133" t="s">
        <v>236</v>
      </c>
      <c r="C127" s="199"/>
      <c r="D127" s="200"/>
      <c r="E127" s="129"/>
      <c r="F127" s="17"/>
      <c r="G127" s="17"/>
      <c r="H127" s="17"/>
    </row>
    <row r="128" spans="2:8" x14ac:dyDescent="0.25">
      <c r="B128" s="133" t="s">
        <v>70</v>
      </c>
      <c r="C128" s="199"/>
      <c r="D128" s="200"/>
      <c r="E128" s="129"/>
      <c r="F128" s="17"/>
      <c r="G128" s="17"/>
      <c r="H128" s="17"/>
    </row>
    <row r="129" spans="2:8" x14ac:dyDescent="0.25">
      <c r="B129" s="133" t="s">
        <v>237</v>
      </c>
      <c r="C129" s="199"/>
      <c r="D129" s="200"/>
      <c r="E129" s="129"/>
      <c r="F129" s="17"/>
      <c r="G129" s="17"/>
      <c r="H129" s="17"/>
    </row>
    <row r="130" spans="2:8" x14ac:dyDescent="0.25">
      <c r="B130" s="133" t="s">
        <v>238</v>
      </c>
      <c r="C130" s="199"/>
      <c r="D130" s="200"/>
      <c r="E130" s="129"/>
      <c r="F130" s="17"/>
      <c r="G130" s="17"/>
      <c r="H130" s="17"/>
    </row>
    <row r="131" spans="2:8" x14ac:dyDescent="0.25">
      <c r="B131" s="133" t="s">
        <v>239</v>
      </c>
      <c r="C131" s="199"/>
      <c r="D131" s="200"/>
      <c r="E131" s="129"/>
      <c r="F131" s="17"/>
      <c r="G131" s="17"/>
      <c r="H131" s="17"/>
    </row>
    <row r="132" spans="2:8" x14ac:dyDescent="0.25">
      <c r="B132" s="133" t="s">
        <v>240</v>
      </c>
      <c r="C132" s="199"/>
      <c r="D132" s="200"/>
      <c r="E132" s="129"/>
      <c r="F132" s="17"/>
      <c r="G132" s="17"/>
      <c r="H132" s="17"/>
    </row>
    <row r="133" spans="2:8" x14ac:dyDescent="0.25">
      <c r="B133" s="133" t="s">
        <v>241</v>
      </c>
      <c r="C133" s="199"/>
      <c r="D133" s="200"/>
      <c r="E133" s="129"/>
      <c r="F133" s="17"/>
      <c r="G133" s="17"/>
      <c r="H133" s="17"/>
    </row>
    <row r="134" spans="2:8" x14ac:dyDescent="0.25">
      <c r="B134" s="133" t="s">
        <v>242</v>
      </c>
      <c r="C134" s="199"/>
      <c r="D134" s="200"/>
      <c r="E134" s="129"/>
      <c r="F134" s="17"/>
      <c r="G134" s="17"/>
      <c r="H134" s="17"/>
    </row>
    <row r="135" spans="2:8" x14ac:dyDescent="0.25">
      <c r="B135" s="133" t="s">
        <v>243</v>
      </c>
      <c r="C135" s="199"/>
      <c r="D135" s="200"/>
      <c r="E135" s="129"/>
      <c r="F135" s="17"/>
      <c r="G135" s="17"/>
      <c r="H135" s="17"/>
    </row>
    <row r="136" spans="2:8" x14ac:dyDescent="0.25">
      <c r="B136" s="139" t="s">
        <v>103</v>
      </c>
      <c r="C136" s="245">
        <f>SUM(C122:C135)</f>
        <v>6</v>
      </c>
      <c r="D136" s="246"/>
      <c r="E136" s="145">
        <v>100</v>
      </c>
      <c r="F136" s="9"/>
      <c r="G136" s="9"/>
      <c r="H136" s="17"/>
    </row>
    <row r="137" spans="2:8" x14ac:dyDescent="0.25">
      <c r="B137" s="12"/>
      <c r="C137" s="12"/>
      <c r="D137" s="9"/>
      <c r="E137" s="9"/>
      <c r="F137" s="9"/>
      <c r="G137" s="9"/>
    </row>
    <row r="138" spans="2:8" ht="44.25" customHeight="1" x14ac:dyDescent="0.25">
      <c r="B138" s="33"/>
      <c r="C138" s="65" t="s">
        <v>30</v>
      </c>
      <c r="D138" s="65" t="s">
        <v>31</v>
      </c>
      <c r="E138" s="64" t="s">
        <v>104</v>
      </c>
      <c r="F138" s="64" t="s">
        <v>32</v>
      </c>
    </row>
    <row r="139" spans="2:8" x14ac:dyDescent="0.25">
      <c r="B139" s="32" t="s">
        <v>105</v>
      </c>
      <c r="C139" s="61">
        <f>65674.5+4370</f>
        <v>70044.5</v>
      </c>
      <c r="D139" s="61">
        <f>65979.44+0.02</f>
        <v>65979.460000000006</v>
      </c>
      <c r="E139" s="61"/>
      <c r="F139" s="63">
        <f>31090.61+0.01-16582.5-4370</f>
        <v>10138.119999999999</v>
      </c>
    </row>
    <row r="140" spans="2:8" x14ac:dyDescent="0.25">
      <c r="B140" s="32" t="s">
        <v>106</v>
      </c>
      <c r="C140" s="61">
        <f>6016.5-3784.4</f>
        <v>2232.1</v>
      </c>
      <c r="D140" s="61">
        <f>0.04+6183.23</f>
        <v>6183.2699999999995</v>
      </c>
      <c r="E140" s="61"/>
      <c r="F140" s="63">
        <f>0.05+4515.86-1362.21+3784.4</f>
        <v>6938.1</v>
      </c>
    </row>
    <row r="141" spans="2:8" x14ac:dyDescent="0.25">
      <c r="B141" s="33" t="s">
        <v>107</v>
      </c>
      <c r="C141" s="65">
        <f>SUM(C139:C140)</f>
        <v>72276.600000000006</v>
      </c>
      <c r="D141" s="65">
        <f>SUM(D139:D140)</f>
        <v>72162.73000000001</v>
      </c>
      <c r="E141" s="61"/>
      <c r="F141" s="65">
        <f>SUM(F139:F140)</f>
        <v>17076.22</v>
      </c>
    </row>
    <row r="143" spans="2:8" x14ac:dyDescent="0.25">
      <c r="B143" s="177" t="s">
        <v>108</v>
      </c>
      <c r="C143" s="178"/>
      <c r="D143" s="179"/>
      <c r="E143" s="196">
        <f>G107</f>
        <v>258889.54999999996</v>
      </c>
      <c r="F143" s="197"/>
    </row>
    <row r="145" spans="2:6" x14ac:dyDescent="0.25">
      <c r="B145" s="198" t="s">
        <v>109</v>
      </c>
      <c r="C145" s="198"/>
      <c r="D145" s="198"/>
      <c r="E145" s="193"/>
      <c r="F145" s="193"/>
    </row>
    <row r="146" spans="2:6" x14ac:dyDescent="0.25">
      <c r="B146" s="192" t="s">
        <v>110</v>
      </c>
      <c r="C146" s="192"/>
      <c r="D146" s="192"/>
      <c r="E146" s="193"/>
      <c r="F146" s="193"/>
    </row>
    <row r="147" spans="2:6" x14ac:dyDescent="0.25">
      <c r="B147" s="192" t="s">
        <v>111</v>
      </c>
      <c r="C147" s="192"/>
      <c r="D147" s="192"/>
      <c r="E147" s="193"/>
      <c r="F147" s="193"/>
    </row>
    <row r="148" spans="2:6" x14ac:dyDescent="0.25">
      <c r="B148" s="192" t="s">
        <v>112</v>
      </c>
      <c r="C148" s="192"/>
      <c r="D148" s="192"/>
      <c r="E148" s="193"/>
      <c r="F148" s="193"/>
    </row>
    <row r="149" spans="2:6" x14ac:dyDescent="0.25">
      <c r="B149" s="192" t="s">
        <v>113</v>
      </c>
      <c r="C149" s="192"/>
      <c r="D149" s="192"/>
      <c r="E149" s="193"/>
      <c r="F149" s="193"/>
    </row>
    <row r="151" spans="2:6" x14ac:dyDescent="0.25">
      <c r="B151" s="177" t="s">
        <v>114</v>
      </c>
      <c r="C151" s="178"/>
      <c r="D151" s="179"/>
      <c r="E151" s="193"/>
      <c r="F151" s="193"/>
    </row>
    <row r="153" spans="2:6" hidden="1" x14ac:dyDescent="0.25">
      <c r="B153" s="181" t="s">
        <v>123</v>
      </c>
      <c r="C153" s="183"/>
      <c r="D153" s="61" t="s">
        <v>124</v>
      </c>
      <c r="E153" s="176" t="s">
        <v>122</v>
      </c>
      <c r="F153" s="176"/>
    </row>
    <row r="154" spans="2:6" hidden="1" x14ac:dyDescent="0.25">
      <c r="B154" s="181" t="s">
        <v>125</v>
      </c>
      <c r="C154" s="183"/>
      <c r="D154" s="61" t="s">
        <v>126</v>
      </c>
      <c r="E154" s="176" t="s">
        <v>122</v>
      </c>
      <c r="F154" s="176"/>
    </row>
    <row r="155" spans="2:6" ht="30" hidden="1" customHeight="1" x14ac:dyDescent="0.25">
      <c r="B155" s="174" t="s">
        <v>127</v>
      </c>
      <c r="C155" s="175"/>
      <c r="D155" s="61" t="s">
        <v>128</v>
      </c>
      <c r="E155" s="176" t="s">
        <v>122</v>
      </c>
      <c r="F155" s="176"/>
    </row>
    <row r="156" spans="2:6" ht="30" hidden="1" customHeight="1" x14ac:dyDescent="0.25">
      <c r="B156" s="174" t="s">
        <v>129</v>
      </c>
      <c r="C156" s="175"/>
      <c r="D156" s="61" t="s">
        <v>130</v>
      </c>
      <c r="E156" s="176"/>
      <c r="F156" s="176"/>
    </row>
    <row r="157" spans="2:6" ht="30" hidden="1" x14ac:dyDescent="0.25">
      <c r="B157" s="174" t="s">
        <v>131</v>
      </c>
      <c r="C157" s="175"/>
      <c r="D157" s="24" t="s">
        <v>132</v>
      </c>
      <c r="E157" s="176" t="s">
        <v>133</v>
      </c>
      <c r="F157" s="176"/>
    </row>
    <row r="158" spans="2:6" hidden="1" x14ac:dyDescent="0.25">
      <c r="B158" s="181" t="s">
        <v>134</v>
      </c>
      <c r="C158" s="183"/>
      <c r="D158" s="10" t="s">
        <v>135</v>
      </c>
      <c r="E158" s="176"/>
      <c r="F158" s="176"/>
    </row>
    <row r="159" spans="2:6" ht="30" hidden="1" customHeight="1" x14ac:dyDescent="0.25">
      <c r="B159" s="174" t="s">
        <v>136</v>
      </c>
      <c r="C159" s="175"/>
      <c r="D159" s="10" t="s">
        <v>137</v>
      </c>
      <c r="E159" s="176"/>
      <c r="F159" s="176"/>
    </row>
    <row r="160" spans="2:6" ht="30" hidden="1" customHeight="1" x14ac:dyDescent="0.25">
      <c r="B160" s="174" t="s">
        <v>138</v>
      </c>
      <c r="C160" s="175"/>
      <c r="D160" s="61" t="s">
        <v>139</v>
      </c>
      <c r="E160" s="176"/>
      <c r="F160" s="176"/>
    </row>
    <row r="161" spans="2:8" x14ac:dyDescent="0.25">
      <c r="B161" s="177" t="s">
        <v>74</v>
      </c>
      <c r="C161" s="178"/>
      <c r="D161" s="179"/>
      <c r="E161" s="180">
        <v>1520</v>
      </c>
      <c r="F161" s="180"/>
      <c r="G161" s="25"/>
      <c r="H161" s="25"/>
    </row>
    <row r="162" spans="2:8" x14ac:dyDescent="0.25">
      <c r="B162" s="181" t="s">
        <v>75</v>
      </c>
      <c r="C162" s="182"/>
      <c r="D162" s="183"/>
      <c r="E162" s="176"/>
      <c r="F162" s="176"/>
      <c r="G162" s="26"/>
      <c r="H162" s="26"/>
    </row>
    <row r="163" spans="2:8" x14ac:dyDescent="0.25">
      <c r="B163" s="181" t="s">
        <v>76</v>
      </c>
      <c r="C163" s="182"/>
      <c r="D163" s="183"/>
      <c r="E163" s="184">
        <v>320</v>
      </c>
      <c r="F163" s="184"/>
      <c r="G163" s="27"/>
      <c r="H163" s="27"/>
    </row>
    <row r="164" spans="2:8" x14ac:dyDescent="0.25">
      <c r="B164" s="181" t="s">
        <v>77</v>
      </c>
      <c r="C164" s="182"/>
      <c r="D164" s="183"/>
      <c r="E164" s="184"/>
      <c r="F164" s="184"/>
      <c r="G164" s="27"/>
      <c r="H164" s="27"/>
    </row>
    <row r="165" spans="2:8" x14ac:dyDescent="0.25">
      <c r="B165" s="177" t="s">
        <v>78</v>
      </c>
      <c r="C165" s="178"/>
      <c r="D165" s="179"/>
      <c r="E165" s="180"/>
      <c r="F165" s="180"/>
      <c r="G165" s="25"/>
      <c r="H165" s="25"/>
    </row>
    <row r="166" spans="2:8" x14ac:dyDescent="0.25">
      <c r="B166" s="181" t="s">
        <v>79</v>
      </c>
      <c r="C166" s="182"/>
      <c r="D166" s="183"/>
      <c r="E166" s="184"/>
      <c r="F166" s="184"/>
      <c r="G166" s="27"/>
      <c r="H166" s="27"/>
    </row>
    <row r="167" spans="2:8" x14ac:dyDescent="0.25">
      <c r="B167" s="177" t="s">
        <v>80</v>
      </c>
      <c r="C167" s="178"/>
      <c r="D167" s="179"/>
      <c r="E167" s="184"/>
      <c r="F167" s="184"/>
      <c r="G167" s="27"/>
      <c r="H167" s="27"/>
    </row>
    <row r="168" spans="2:8" x14ac:dyDescent="0.25">
      <c r="B168" s="16"/>
      <c r="C168" s="16"/>
      <c r="D168" s="16"/>
      <c r="E168" s="17"/>
      <c r="F168" s="17"/>
      <c r="G168" s="17"/>
      <c r="H168" s="17"/>
    </row>
    <row r="169" spans="2:8" ht="36" customHeight="1" x14ac:dyDescent="0.25">
      <c r="B169" s="185" t="s">
        <v>115</v>
      </c>
      <c r="C169" s="186"/>
      <c r="D169" s="186"/>
      <c r="E169" s="186"/>
      <c r="F169" s="21" t="s">
        <v>116</v>
      </c>
    </row>
    <row r="170" spans="2:8" ht="14.45" customHeight="1" x14ac:dyDescent="0.25">
      <c r="B170" s="187" t="s">
        <v>117</v>
      </c>
      <c r="C170" s="188" t="s">
        <v>118</v>
      </c>
      <c r="D170" s="190" t="s">
        <v>119</v>
      </c>
      <c r="E170" s="191"/>
      <c r="F170" s="4"/>
    </row>
    <row r="171" spans="2:8" x14ac:dyDescent="0.25">
      <c r="B171" s="187"/>
      <c r="C171" s="189"/>
      <c r="D171" s="62" t="s">
        <v>120</v>
      </c>
      <c r="E171" s="62" t="s">
        <v>121</v>
      </c>
      <c r="F171" s="4"/>
    </row>
    <row r="172" spans="2:8" x14ac:dyDescent="0.25">
      <c r="B172" s="115"/>
      <c r="C172" s="124"/>
      <c r="D172" s="115"/>
      <c r="E172" s="115"/>
      <c r="F172" s="4"/>
    </row>
    <row r="173" spans="2:8" x14ac:dyDescent="0.25">
      <c r="B173" s="115"/>
      <c r="C173" s="115"/>
      <c r="D173" s="115"/>
      <c r="E173" s="115"/>
      <c r="F173" s="4"/>
    </row>
    <row r="174" spans="2:8" x14ac:dyDescent="0.25">
      <c r="B174" s="120"/>
      <c r="C174" s="120"/>
      <c r="D174" s="121"/>
      <c r="E174" s="121"/>
      <c r="F174" s="121"/>
    </row>
    <row r="175" spans="2:8" x14ac:dyDescent="0.25">
      <c r="B175" s="120" t="s">
        <v>247</v>
      </c>
      <c r="C175" s="120"/>
      <c r="D175" s="121" t="s">
        <v>248</v>
      </c>
      <c r="E175" s="121"/>
      <c r="F175" s="121"/>
    </row>
  </sheetData>
  <mergeCells count="183">
    <mergeCell ref="B67:C67"/>
    <mergeCell ref="B68:C68"/>
    <mergeCell ref="B69:C69"/>
    <mergeCell ref="B70:C70"/>
    <mergeCell ref="B71:C71"/>
    <mergeCell ref="B72:C72"/>
    <mergeCell ref="B166:D166"/>
    <mergeCell ref="E166:F166"/>
    <mergeCell ref="B167:D167"/>
    <mergeCell ref="E167:F167"/>
    <mergeCell ref="B160:C160"/>
    <mergeCell ref="E160:F160"/>
    <mergeCell ref="B161:D161"/>
    <mergeCell ref="E161:F161"/>
    <mergeCell ref="B162:D162"/>
    <mergeCell ref="E162:F162"/>
    <mergeCell ref="B157:C157"/>
    <mergeCell ref="E157:F157"/>
    <mergeCell ref="B158:C158"/>
    <mergeCell ref="E158:F158"/>
    <mergeCell ref="B159:C159"/>
    <mergeCell ref="E159:F159"/>
    <mergeCell ref="B154:C154"/>
    <mergeCell ref="E154:F154"/>
    <mergeCell ref="B169:E169"/>
    <mergeCell ref="B170:B171"/>
    <mergeCell ref="C170:C171"/>
    <mergeCell ref="D170:E170"/>
    <mergeCell ref="B163:D163"/>
    <mergeCell ref="E163:F163"/>
    <mergeCell ref="B164:D164"/>
    <mergeCell ref="E164:F164"/>
    <mergeCell ref="B165:D165"/>
    <mergeCell ref="E165:F165"/>
    <mergeCell ref="B155:C155"/>
    <mergeCell ref="E155:F155"/>
    <mergeCell ref="B156:C156"/>
    <mergeCell ref="E156:F156"/>
    <mergeCell ref="B149:D149"/>
    <mergeCell ref="E149:F149"/>
    <mergeCell ref="B151:D151"/>
    <mergeCell ref="E151:F151"/>
    <mergeCell ref="B153:C153"/>
    <mergeCell ref="E153:F153"/>
    <mergeCell ref="B146:D146"/>
    <mergeCell ref="E146:F146"/>
    <mergeCell ref="B147:D147"/>
    <mergeCell ref="E147:F147"/>
    <mergeCell ref="B148:D148"/>
    <mergeCell ref="E148:F148"/>
    <mergeCell ref="G110:G111"/>
    <mergeCell ref="H110:H111"/>
    <mergeCell ref="B143:D143"/>
    <mergeCell ref="E143:F143"/>
    <mergeCell ref="B145:D145"/>
    <mergeCell ref="E145:F145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B103:C103"/>
    <mergeCell ref="B104:C104"/>
    <mergeCell ref="B106:C106"/>
    <mergeCell ref="B107:C107"/>
    <mergeCell ref="B109:F109"/>
    <mergeCell ref="B110:B111"/>
    <mergeCell ref="C110:D110"/>
    <mergeCell ref="E110:E111"/>
    <mergeCell ref="F110:F111"/>
    <mergeCell ref="B97:C97"/>
    <mergeCell ref="B98:C98"/>
    <mergeCell ref="B99:C99"/>
    <mergeCell ref="B100:C100"/>
    <mergeCell ref="B101:C101"/>
    <mergeCell ref="B102:C102"/>
    <mergeCell ref="B95:G95"/>
    <mergeCell ref="B96:C96"/>
    <mergeCell ref="B92:C92"/>
    <mergeCell ref="B93:C9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50:C50"/>
    <mergeCell ref="B51:C51"/>
    <mergeCell ref="B52:C52"/>
    <mergeCell ref="B53:C53"/>
    <mergeCell ref="B54:C54"/>
    <mergeCell ref="B73:C73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C134:D134"/>
    <mergeCell ref="C135:D135"/>
    <mergeCell ref="C136:D136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</mergeCells>
  <pageMargins left="0.11811023622047245" right="0.11811023622047245" top="0.15748031496062992" bottom="0.15748031496062992" header="0.31496062992125984" footer="0.31496062992125984"/>
  <pageSetup paperSize="9" scale="58" orientation="portrait" r:id="rId1"/>
  <headerFooter alignWithMargins="0"/>
  <rowBreaks count="2" manualBreakCount="2">
    <brk id="70" max="7" man="1"/>
    <brk id="11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8"/>
  <sheetViews>
    <sheetView view="pageBreakPreview" zoomScale="70" zoomScaleSheetLayoutView="70" workbookViewId="0">
      <selection activeCell="F26" sqref="F26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6.285156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600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168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169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7746.1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7746.1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/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7746.1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170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168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12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419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76" t="s">
        <v>20</v>
      </c>
      <c r="F21" s="76" t="s">
        <v>21</v>
      </c>
      <c r="G21" s="76" t="s">
        <v>19</v>
      </c>
      <c r="H21" s="31"/>
    </row>
    <row r="22" spans="1:8" x14ac:dyDescent="0.25">
      <c r="B22" s="223" t="s">
        <v>22</v>
      </c>
      <c r="C22" s="224"/>
      <c r="D22" s="7">
        <f>E22</f>
        <v>99264.6</v>
      </c>
      <c r="E22" s="7">
        <v>99264.6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3010254.6399999997</v>
      </c>
      <c r="E23" s="45">
        <f>E38+D99+C143</f>
        <v>1329011.6000000001</v>
      </c>
      <c r="F23" s="7">
        <f>D100+D101+D102+D103+D104+D105+D106+D107</f>
        <v>171450.64999999997</v>
      </c>
      <c r="G23" s="7">
        <f>F114+F115+F116+F117+F118+F119</f>
        <v>1509792.39</v>
      </c>
      <c r="H23" s="2"/>
    </row>
    <row r="24" spans="1:8" x14ac:dyDescent="0.25">
      <c r="B24" s="223" t="s">
        <v>24</v>
      </c>
      <c r="C24" s="224"/>
      <c r="D24" s="43">
        <f>E24+F24+G24</f>
        <v>2653708.04</v>
      </c>
      <c r="E24" s="45">
        <f>F38+E99+D141+D142</f>
        <v>1286507.4800000002</v>
      </c>
      <c r="F24" s="7">
        <f>E100+E101+E103+E104+E107+E102+E105+E106</f>
        <v>175512.03</v>
      </c>
      <c r="G24" s="7">
        <f>G120</f>
        <v>1191688.5299999998</v>
      </c>
      <c r="H24" s="2"/>
    </row>
    <row r="25" spans="1:8" x14ac:dyDescent="0.25">
      <c r="B25" s="223" t="s">
        <v>25</v>
      </c>
      <c r="C25" s="224"/>
      <c r="D25" s="7">
        <f>E25+F25+G25</f>
        <v>2610902.59</v>
      </c>
      <c r="E25" s="7">
        <f>D143+1093136.7</f>
        <v>1243702.03</v>
      </c>
      <c r="F25" s="7">
        <f>F24</f>
        <v>175512.03</v>
      </c>
      <c r="G25" s="7">
        <f>G24</f>
        <v>1191688.5299999998</v>
      </c>
      <c r="H25" s="2"/>
    </row>
    <row r="26" spans="1:8" x14ac:dyDescent="0.25">
      <c r="B26" s="223" t="s">
        <v>253</v>
      </c>
      <c r="C26" s="224"/>
      <c r="D26" s="7">
        <f>E26+F26+G26</f>
        <v>1104641.6299999999</v>
      </c>
      <c r="E26" s="45">
        <f>G38+G99+F143</f>
        <v>173864.34</v>
      </c>
      <c r="F26" s="45">
        <f>G108-G99</f>
        <v>59918.980000000025</v>
      </c>
      <c r="G26" s="45">
        <f>H120</f>
        <v>870858.30999999994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28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79" t="s">
        <v>30</v>
      </c>
      <c r="F30" s="78" t="s">
        <v>31</v>
      </c>
      <c r="G30" s="77" t="s">
        <v>32</v>
      </c>
      <c r="H30" s="9"/>
    </row>
    <row r="31" spans="1:8" x14ac:dyDescent="0.25">
      <c r="B31" s="174" t="s">
        <v>33</v>
      </c>
      <c r="C31" s="212"/>
      <c r="D31" s="175"/>
      <c r="E31" s="75">
        <v>143078.79999999999</v>
      </c>
      <c r="F31" s="40">
        <v>139272.57</v>
      </c>
      <c r="G31" s="75">
        <f>27307.88-12626.21+72.38</f>
        <v>14754.050000000001</v>
      </c>
      <c r="H31" s="5"/>
    </row>
    <row r="32" spans="1:8" x14ac:dyDescent="0.25">
      <c r="B32" s="174" t="s">
        <v>34</v>
      </c>
      <c r="C32" s="212"/>
      <c r="D32" s="175"/>
      <c r="E32" s="75">
        <v>182077.97</v>
      </c>
      <c r="F32" s="40">
        <v>178116.84</v>
      </c>
      <c r="G32" s="75">
        <f>35954.73-16421.7+200</f>
        <v>19733.030000000002</v>
      </c>
      <c r="H32" s="5"/>
    </row>
    <row r="33" spans="2:8" x14ac:dyDescent="0.25">
      <c r="B33" s="174" t="s">
        <v>35</v>
      </c>
      <c r="C33" s="212"/>
      <c r="D33" s="175"/>
      <c r="E33" s="75">
        <v>115063</v>
      </c>
      <c r="F33" s="40">
        <v>112323.04</v>
      </c>
      <c r="G33" s="75">
        <f>22269.29-10147.51+200</f>
        <v>12321.78</v>
      </c>
      <c r="H33" s="5"/>
    </row>
    <row r="34" spans="2:8" hidden="1" x14ac:dyDescent="0.25">
      <c r="B34" s="174" t="s">
        <v>36</v>
      </c>
      <c r="C34" s="175"/>
      <c r="D34" s="71"/>
      <c r="E34" s="75"/>
      <c r="F34" s="40"/>
      <c r="G34" s="75"/>
      <c r="H34" s="5"/>
    </row>
    <row r="35" spans="2:8" x14ac:dyDescent="0.25">
      <c r="B35" s="174" t="s">
        <v>37</v>
      </c>
      <c r="C35" s="212"/>
      <c r="D35" s="175"/>
      <c r="E35" s="75">
        <v>271551.65999999997</v>
      </c>
      <c r="F35" s="40">
        <v>265320.33</v>
      </c>
      <c r="G35" s="75">
        <f>52280.07-23626.08</f>
        <v>28653.989999999998</v>
      </c>
      <c r="H35" s="5"/>
    </row>
    <row r="36" spans="2:8" x14ac:dyDescent="0.25">
      <c r="B36" s="174" t="s">
        <v>38</v>
      </c>
      <c r="C36" s="212"/>
      <c r="D36" s="175"/>
      <c r="E36" s="75">
        <v>191174.24</v>
      </c>
      <c r="F36" s="40">
        <f>185961.63+1788.38</f>
        <v>187750.01</v>
      </c>
      <c r="G36" s="75">
        <f>29965.77+4495.23+5747.11-19830</f>
        <v>20378.11</v>
      </c>
      <c r="H36" s="5"/>
    </row>
    <row r="37" spans="2:8" ht="30" customHeight="1" x14ac:dyDescent="0.25">
      <c r="B37" s="174" t="s">
        <v>39</v>
      </c>
      <c r="C37" s="212"/>
      <c r="D37" s="175"/>
      <c r="E37" s="75">
        <v>192877.89</v>
      </c>
      <c r="F37" s="40">
        <f>197695.35+1370.5</f>
        <v>199065.85</v>
      </c>
      <c r="G37" s="75">
        <f>-2876.56+23956.95+5223.53-18280.78</f>
        <v>8023.1399999999994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1095823.56</v>
      </c>
      <c r="F38" s="41">
        <f>SUM(F31:F37)</f>
        <v>1081848.6400000001</v>
      </c>
      <c r="G38" s="41">
        <f>SUM(G31:G37)</f>
        <v>103864.1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440219.77</v>
      </c>
      <c r="G44" s="123"/>
      <c r="H44" s="123">
        <f t="shared" ref="H44" si="0">H45+H46+H47</f>
        <v>424564.39999999997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143078.79999999999</v>
      </c>
      <c r="G45" s="112"/>
      <c r="H45" s="105">
        <f>168180.6-18907.02</f>
        <v>149273.58000000002</v>
      </c>
    </row>
    <row r="46" spans="2:8" x14ac:dyDescent="0.25">
      <c r="B46" s="210" t="s">
        <v>49</v>
      </c>
      <c r="C46" s="211"/>
      <c r="D46" s="75">
        <v>2014</v>
      </c>
      <c r="E46" s="10"/>
      <c r="F46" s="105">
        <f>E32</f>
        <v>182077.97</v>
      </c>
      <c r="G46" s="112"/>
      <c r="H46" s="105">
        <f>166760.2-23986.04</f>
        <v>142774.16</v>
      </c>
    </row>
    <row r="47" spans="2:8" x14ac:dyDescent="0.25">
      <c r="B47" s="174" t="s">
        <v>35</v>
      </c>
      <c r="C47" s="175"/>
      <c r="D47" s="75">
        <v>2014</v>
      </c>
      <c r="E47" s="10"/>
      <c r="F47" s="105">
        <f>E33</f>
        <v>115063</v>
      </c>
      <c r="G47" s="112"/>
      <c r="H47" s="105">
        <f>147794.8-15278.14</f>
        <v>132516.65999999997</v>
      </c>
    </row>
    <row r="48" spans="2:8" hidden="1" x14ac:dyDescent="0.25">
      <c r="B48" s="174" t="s">
        <v>36</v>
      </c>
      <c r="C48" s="175"/>
      <c r="D48" s="75"/>
      <c r="E48" s="10"/>
      <c r="F48" s="105"/>
      <c r="G48" s="112"/>
      <c r="H48" s="105"/>
    </row>
    <row r="49" spans="2:8" x14ac:dyDescent="0.25">
      <c r="B49" s="202" t="s">
        <v>65</v>
      </c>
      <c r="C49" s="203"/>
      <c r="D49" s="75"/>
      <c r="E49" s="10"/>
      <c r="F49" s="113"/>
      <c r="G49" s="112"/>
      <c r="H49" s="113"/>
    </row>
    <row r="50" spans="2:8" ht="30.75" customHeight="1" x14ac:dyDescent="0.25">
      <c r="B50" s="174" t="s">
        <v>66</v>
      </c>
      <c r="C50" s="175"/>
      <c r="D50" s="169" t="s">
        <v>266</v>
      </c>
      <c r="E50" s="169"/>
      <c r="F50" s="10"/>
      <c r="G50" s="16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519</v>
      </c>
      <c r="F51" s="151">
        <f>18623.37+1070</f>
        <v>19693.37</v>
      </c>
      <c r="G51" s="150" t="s">
        <v>519</v>
      </c>
      <c r="H51" s="151">
        <f>18623.37+1070</f>
        <v>19693.37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3896</v>
      </c>
      <c r="G52" s="169" t="s">
        <v>267</v>
      </c>
      <c r="H52" s="152">
        <v>5126.9399999999996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2112+7117.04</f>
        <v>9229.0400000000009</v>
      </c>
      <c r="G53" s="169" t="s">
        <v>267</v>
      </c>
      <c r="H53" s="152">
        <f>1766.6+6844.2</f>
        <v>8610.7999999999993</v>
      </c>
    </row>
    <row r="54" spans="2:8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x14ac:dyDescent="0.25">
      <c r="B55" s="239" t="s">
        <v>538</v>
      </c>
      <c r="C55" s="240"/>
      <c r="D55" s="108" t="s">
        <v>272</v>
      </c>
      <c r="E55" s="155" t="s">
        <v>539</v>
      </c>
      <c r="F55" s="156">
        <v>160130.9</v>
      </c>
      <c r="G55" s="155" t="s">
        <v>539</v>
      </c>
      <c r="H55" s="156">
        <v>160130.9</v>
      </c>
    </row>
    <row r="56" spans="2:8" x14ac:dyDescent="0.25">
      <c r="B56" s="239" t="s">
        <v>540</v>
      </c>
      <c r="C56" s="240"/>
      <c r="D56" s="108" t="s">
        <v>272</v>
      </c>
      <c r="E56" s="108"/>
      <c r="F56" s="156"/>
      <c r="G56" s="155" t="s">
        <v>454</v>
      </c>
      <c r="H56" s="156">
        <v>17332.5</v>
      </c>
    </row>
    <row r="57" spans="2:8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x14ac:dyDescent="0.25">
      <c r="B60" s="208" t="s">
        <v>69</v>
      </c>
      <c r="C60" s="209"/>
      <c r="D60" s="108" t="s">
        <v>272</v>
      </c>
      <c r="E60" s="161"/>
      <c r="F60" s="152"/>
      <c r="G60" s="161"/>
      <c r="H60" s="152"/>
    </row>
    <row r="61" spans="2:8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>
        <v>22641.52</v>
      </c>
    </row>
    <row r="62" spans="2:8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x14ac:dyDescent="0.25">
      <c r="B64" s="243" t="s">
        <v>50</v>
      </c>
      <c r="C64" s="244"/>
      <c r="D64" s="108"/>
      <c r="E64" s="108"/>
      <c r="F64" s="162"/>
      <c r="G64" s="163"/>
      <c r="H64" s="162"/>
    </row>
    <row r="65" spans="2:8" ht="43.5" customHeight="1" x14ac:dyDescent="0.25">
      <c r="B65" s="208" t="s">
        <v>51</v>
      </c>
      <c r="C65" s="209"/>
      <c r="D65" s="153" t="s">
        <v>284</v>
      </c>
      <c r="E65" s="108"/>
      <c r="F65" s="154"/>
      <c r="G65" s="108" t="s">
        <v>271</v>
      </c>
      <c r="H65" s="154"/>
    </row>
    <row r="66" spans="2:8" ht="42" customHeight="1" x14ac:dyDescent="0.25">
      <c r="B66" s="208" t="s">
        <v>52</v>
      </c>
      <c r="C66" s="209"/>
      <c r="D66" s="108" t="s">
        <v>285</v>
      </c>
      <c r="E66" s="108"/>
      <c r="F66" s="154"/>
      <c r="G66" s="108" t="s">
        <v>271</v>
      </c>
      <c r="H66" s="154"/>
    </row>
    <row r="67" spans="2:8" ht="40.5" customHeight="1" x14ac:dyDescent="0.25">
      <c r="B67" s="208" t="s">
        <v>53</v>
      </c>
      <c r="C67" s="209"/>
      <c r="D67" s="108" t="s">
        <v>286</v>
      </c>
      <c r="E67" s="108"/>
      <c r="F67" s="154"/>
      <c r="G67" s="108" t="s">
        <v>271</v>
      </c>
      <c r="H67" s="154"/>
    </row>
    <row r="68" spans="2:8" ht="84" customHeight="1" x14ac:dyDescent="0.25">
      <c r="B68" s="208" t="s">
        <v>54</v>
      </c>
      <c r="C68" s="209"/>
      <c r="D68" s="150" t="s">
        <v>266</v>
      </c>
      <c r="E68" s="150" t="s">
        <v>271</v>
      </c>
      <c r="F68" s="151">
        <v>13924.64</v>
      </c>
      <c r="G68" s="150" t="s">
        <v>271</v>
      </c>
      <c r="H68" s="151">
        <v>13413.93</v>
      </c>
    </row>
    <row r="69" spans="2:8" x14ac:dyDescent="0.25">
      <c r="B69" s="208" t="s">
        <v>55</v>
      </c>
      <c r="C69" s="209"/>
      <c r="D69" s="108" t="s">
        <v>266</v>
      </c>
      <c r="E69" s="108" t="s">
        <v>317</v>
      </c>
      <c r="F69" s="152">
        <v>3080</v>
      </c>
      <c r="G69" s="108" t="s">
        <v>403</v>
      </c>
      <c r="H69" s="152">
        <f>24725.8+12565</f>
        <v>37290.800000000003</v>
      </c>
    </row>
    <row r="70" spans="2:8" x14ac:dyDescent="0.25">
      <c r="B70" s="208" t="s">
        <v>56</v>
      </c>
      <c r="C70" s="209"/>
      <c r="D70" s="108" t="s">
        <v>266</v>
      </c>
      <c r="E70" s="108" t="s">
        <v>271</v>
      </c>
      <c r="F70" s="152">
        <v>30424.09</v>
      </c>
      <c r="G70" s="108" t="s">
        <v>271</v>
      </c>
      <c r="H70" s="152">
        <v>30424.09</v>
      </c>
    </row>
    <row r="71" spans="2:8" x14ac:dyDescent="0.25">
      <c r="B71" s="208" t="s">
        <v>57</v>
      </c>
      <c r="C71" s="209"/>
      <c r="D71" s="108" t="s">
        <v>266</v>
      </c>
      <c r="E71" s="108"/>
      <c r="F71" s="154"/>
      <c r="G71" s="108" t="s">
        <v>271</v>
      </c>
      <c r="H71" s="154"/>
    </row>
    <row r="72" spans="2:8" x14ac:dyDescent="0.25">
      <c r="B72" s="208" t="s">
        <v>58</v>
      </c>
      <c r="C72" s="209"/>
      <c r="D72" s="108" t="s">
        <v>266</v>
      </c>
      <c r="E72" s="108"/>
      <c r="F72" s="164"/>
      <c r="G72" s="108" t="s">
        <v>271</v>
      </c>
      <c r="H72" s="164"/>
    </row>
    <row r="73" spans="2:8" x14ac:dyDescent="0.25">
      <c r="B73" s="208" t="s">
        <v>282</v>
      </c>
      <c r="C73" s="209"/>
      <c r="D73" s="108"/>
      <c r="E73" s="108"/>
      <c r="F73" s="154"/>
      <c r="G73" s="108"/>
      <c r="H73" s="154"/>
    </row>
    <row r="74" spans="2:8" ht="16.5" customHeight="1" x14ac:dyDescent="0.25">
      <c r="B74" s="243" t="s">
        <v>59</v>
      </c>
      <c r="C74" s="244"/>
      <c r="D74" s="108"/>
      <c r="E74" s="108"/>
      <c r="F74" s="162"/>
      <c r="G74" s="108"/>
      <c r="H74" s="162"/>
    </row>
    <row r="75" spans="2:8" ht="34.5" customHeight="1" x14ac:dyDescent="0.25">
      <c r="B75" s="208" t="s">
        <v>60</v>
      </c>
      <c r="C75" s="209"/>
      <c r="D75" s="108" t="s">
        <v>272</v>
      </c>
      <c r="E75" s="108"/>
      <c r="F75" s="154"/>
      <c r="G75" s="108" t="s">
        <v>271</v>
      </c>
      <c r="H75" s="154"/>
    </row>
    <row r="76" spans="2:8" ht="42.75" customHeight="1" x14ac:dyDescent="0.25">
      <c r="B76" s="208" t="s">
        <v>61</v>
      </c>
      <c r="C76" s="209"/>
      <c r="D76" s="108" t="s">
        <v>270</v>
      </c>
      <c r="E76" s="108"/>
      <c r="F76" s="154"/>
      <c r="G76" s="108" t="s">
        <v>271</v>
      </c>
      <c r="H76" s="154"/>
    </row>
    <row r="77" spans="2:8" ht="79.5" customHeight="1" x14ac:dyDescent="0.25">
      <c r="B77" s="208" t="s">
        <v>62</v>
      </c>
      <c r="C77" s="209"/>
      <c r="D77" s="150" t="s">
        <v>266</v>
      </c>
      <c r="E77" s="150" t="s">
        <v>271</v>
      </c>
      <c r="F77" s="151">
        <f>14909.21+10520.84+7313.95</f>
        <v>32744</v>
      </c>
      <c r="G77" s="150" t="s">
        <v>271</v>
      </c>
      <c r="H77" s="151">
        <f>15049.86+10534.9+7374.43</f>
        <v>32959.19</v>
      </c>
    </row>
    <row r="78" spans="2:8" x14ac:dyDescent="0.25">
      <c r="B78" s="208" t="s">
        <v>290</v>
      </c>
      <c r="C78" s="209"/>
      <c r="D78" s="108" t="s">
        <v>291</v>
      </c>
      <c r="E78" s="161" t="s">
        <v>535</v>
      </c>
      <c r="F78" s="152">
        <f>5274.7+7084+13840.25</f>
        <v>26198.95</v>
      </c>
      <c r="G78" s="108" t="s">
        <v>349</v>
      </c>
      <c r="H78" s="152">
        <f>5274.7+6752.7+6039.4+5791.6+1037.3+4311.8</f>
        <v>29207.5</v>
      </c>
    </row>
    <row r="79" spans="2:8" x14ac:dyDescent="0.25">
      <c r="B79" s="208" t="s">
        <v>282</v>
      </c>
      <c r="C79" s="209"/>
      <c r="D79" s="108"/>
      <c r="E79" s="108"/>
      <c r="F79" s="154"/>
      <c r="G79" s="108"/>
      <c r="H79" s="152"/>
    </row>
    <row r="80" spans="2:8" x14ac:dyDescent="0.25">
      <c r="B80" s="243" t="s">
        <v>63</v>
      </c>
      <c r="C80" s="244"/>
      <c r="D80" s="153"/>
      <c r="E80" s="108" t="s">
        <v>271</v>
      </c>
      <c r="F80" s="152">
        <v>27534.67</v>
      </c>
      <c r="G80" s="108" t="s">
        <v>271</v>
      </c>
      <c r="H80" s="152">
        <v>27534.67</v>
      </c>
    </row>
    <row r="81" spans="2:11" x14ac:dyDescent="0.25">
      <c r="B81" s="243" t="s">
        <v>64</v>
      </c>
      <c r="C81" s="244"/>
      <c r="D81" s="108"/>
      <c r="E81" s="108" t="s">
        <v>271</v>
      </c>
      <c r="F81" s="152">
        <v>23348.39</v>
      </c>
      <c r="G81" s="108" t="s">
        <v>271</v>
      </c>
      <c r="H81" s="152">
        <v>22831.68</v>
      </c>
    </row>
    <row r="82" spans="2:11" x14ac:dyDescent="0.25">
      <c r="B82" s="243" t="s">
        <v>294</v>
      </c>
      <c r="C82" s="244"/>
      <c r="D82" s="108"/>
      <c r="E82" s="108"/>
      <c r="F82" s="162"/>
      <c r="G82" s="163"/>
      <c r="H82" s="162"/>
    </row>
    <row r="83" spans="2:11" x14ac:dyDescent="0.25">
      <c r="B83" s="208" t="s">
        <v>295</v>
      </c>
      <c r="C83" s="209"/>
      <c r="D83" s="153" t="s">
        <v>296</v>
      </c>
      <c r="E83" s="108"/>
      <c r="F83" s="152"/>
      <c r="G83" s="108"/>
      <c r="H83" s="152"/>
    </row>
    <row r="84" spans="2:11" x14ac:dyDescent="0.25">
      <c r="B84" s="208" t="s">
        <v>71</v>
      </c>
      <c r="C84" s="209"/>
      <c r="D84" s="153" t="s">
        <v>297</v>
      </c>
      <c r="E84" s="108"/>
      <c r="F84" s="152"/>
      <c r="G84" s="108"/>
      <c r="H84" s="152"/>
    </row>
    <row r="85" spans="2:11" ht="14.25" customHeight="1" x14ac:dyDescent="0.25">
      <c r="B85" s="208" t="s">
        <v>364</v>
      </c>
      <c r="C85" s="209"/>
      <c r="D85" s="153"/>
      <c r="E85" s="108"/>
      <c r="F85" s="152"/>
      <c r="G85" s="108" t="s">
        <v>391</v>
      </c>
      <c r="H85" s="152">
        <v>5600</v>
      </c>
    </row>
    <row r="86" spans="2:11" ht="17.25" customHeight="1" x14ac:dyDescent="0.25">
      <c r="B86" s="208" t="s">
        <v>72</v>
      </c>
      <c r="C86" s="209"/>
      <c r="D86" s="108" t="s">
        <v>299</v>
      </c>
      <c r="E86" s="108" t="s">
        <v>541</v>
      </c>
      <c r="F86" s="152">
        <v>3305.92</v>
      </c>
      <c r="G86" s="108" t="s">
        <v>541</v>
      </c>
      <c r="H86" s="152">
        <v>3305.92</v>
      </c>
    </row>
    <row r="87" spans="2:11" ht="21" customHeight="1" x14ac:dyDescent="0.25">
      <c r="B87" s="208" t="s">
        <v>301</v>
      </c>
      <c r="C87" s="209"/>
      <c r="D87" s="108" t="s">
        <v>291</v>
      </c>
      <c r="E87" s="108" t="s">
        <v>271</v>
      </c>
      <c r="F87" s="152">
        <v>26006.73</v>
      </c>
      <c r="G87" s="108" t="s">
        <v>271</v>
      </c>
      <c r="H87" s="161">
        <v>26006.73</v>
      </c>
    </row>
    <row r="88" spans="2:11" ht="20.25" customHeight="1" x14ac:dyDescent="0.25">
      <c r="B88" s="208" t="s">
        <v>282</v>
      </c>
      <c r="C88" s="209"/>
      <c r="D88" s="108"/>
      <c r="E88" s="108"/>
      <c r="F88" s="154"/>
      <c r="G88" s="108"/>
      <c r="H88" s="154"/>
    </row>
    <row r="89" spans="2:11" x14ac:dyDescent="0.25">
      <c r="B89" s="208" t="s">
        <v>406</v>
      </c>
      <c r="C89" s="209"/>
      <c r="D89" s="108" t="s">
        <v>407</v>
      </c>
      <c r="E89" s="108" t="s">
        <v>513</v>
      </c>
      <c r="F89" s="152">
        <v>42735.99</v>
      </c>
      <c r="G89" s="108" t="s">
        <v>513</v>
      </c>
      <c r="H89" s="152">
        <v>42735.99</v>
      </c>
    </row>
    <row r="90" spans="2:11" x14ac:dyDescent="0.25">
      <c r="B90" s="208" t="s">
        <v>302</v>
      </c>
      <c r="C90" s="209"/>
      <c r="D90" s="108" t="s">
        <v>291</v>
      </c>
      <c r="E90" s="108" t="s">
        <v>542</v>
      </c>
      <c r="F90" s="152">
        <v>11533.54</v>
      </c>
      <c r="G90" s="108" t="s">
        <v>542</v>
      </c>
      <c r="H90" s="152">
        <v>9487.99</v>
      </c>
    </row>
    <row r="91" spans="2:11" x14ac:dyDescent="0.25">
      <c r="B91" s="208" t="s">
        <v>368</v>
      </c>
      <c r="C91" s="209"/>
      <c r="D91" s="108"/>
      <c r="E91" s="108"/>
      <c r="F91" s="152">
        <v>5000</v>
      </c>
      <c r="G91" s="108"/>
      <c r="H91" s="152">
        <v>5000</v>
      </c>
    </row>
    <row r="92" spans="2:11" x14ac:dyDescent="0.25">
      <c r="B92" s="208" t="s">
        <v>311</v>
      </c>
      <c r="C92" s="209"/>
      <c r="D92" s="108"/>
      <c r="E92" s="108" t="s">
        <v>369</v>
      </c>
      <c r="F92" s="152">
        <v>6480</v>
      </c>
      <c r="G92" s="108" t="s">
        <v>369</v>
      </c>
      <c r="H92" s="152">
        <v>6480</v>
      </c>
      <c r="K92" s="5"/>
    </row>
    <row r="93" spans="2:11" x14ac:dyDescent="0.25">
      <c r="B93" s="208" t="s">
        <v>370</v>
      </c>
      <c r="C93" s="209"/>
      <c r="D93" s="108"/>
      <c r="E93" s="108" t="s">
        <v>454</v>
      </c>
      <c r="F93" s="152">
        <v>3960</v>
      </c>
      <c r="G93" s="108" t="s">
        <v>454</v>
      </c>
      <c r="H93" s="152">
        <v>3960</v>
      </c>
    </row>
    <row r="94" spans="2:11" ht="34.5" customHeight="1" x14ac:dyDescent="0.25">
      <c r="B94" s="208" t="s">
        <v>320</v>
      </c>
      <c r="C94" s="209"/>
      <c r="D94" s="108"/>
      <c r="E94" s="108"/>
      <c r="F94" s="152">
        <v>147330.57999999999</v>
      </c>
      <c r="G94" s="108"/>
      <c r="H94" s="152">
        <v>147330.57999999999</v>
      </c>
    </row>
    <row r="95" spans="2:11" ht="19.5" customHeight="1" x14ac:dyDescent="0.25">
      <c r="B95" s="206" t="s">
        <v>73</v>
      </c>
      <c r="C95" s="207"/>
      <c r="D95" s="108"/>
      <c r="E95" s="108"/>
      <c r="F95" s="165">
        <v>1020000</v>
      </c>
      <c r="G95" s="165"/>
      <c r="H95" s="165">
        <f>1093136.7-90613.2</f>
        <v>1002523.5</v>
      </c>
    </row>
    <row r="96" spans="2:11" x14ac:dyDescent="0.25">
      <c r="B96" s="9"/>
      <c r="C96" s="9"/>
      <c r="D96" s="5"/>
      <c r="E96" s="5"/>
      <c r="F96" s="15"/>
      <c r="G96" s="5"/>
      <c r="H96" s="15"/>
    </row>
    <row r="97" spans="2:8" x14ac:dyDescent="0.25">
      <c r="B97" s="201" t="s">
        <v>81</v>
      </c>
      <c r="C97" s="201"/>
      <c r="D97" s="201"/>
      <c r="E97" s="201"/>
      <c r="F97" s="201"/>
      <c r="G97" s="201"/>
    </row>
    <row r="98" spans="2:8" ht="63" customHeight="1" x14ac:dyDescent="0.25">
      <c r="B98" s="194" t="s">
        <v>29</v>
      </c>
      <c r="C98" s="194"/>
      <c r="D98" s="79" t="s">
        <v>30</v>
      </c>
      <c r="E98" s="79" t="s">
        <v>31</v>
      </c>
      <c r="F98" s="77" t="s">
        <v>82</v>
      </c>
      <c r="G98" s="77" t="s">
        <v>32</v>
      </c>
    </row>
    <row r="99" spans="2:8" x14ac:dyDescent="0.25">
      <c r="B99" s="181" t="s">
        <v>83</v>
      </c>
      <c r="C99" s="183"/>
      <c r="D99" s="75">
        <v>79630.12</v>
      </c>
      <c r="E99" s="75">
        <v>54093.51</v>
      </c>
      <c r="F99" s="75">
        <f>E99</f>
        <v>54093.51</v>
      </c>
      <c r="G99" s="80">
        <f>42643.11-19907.53</f>
        <v>22735.58</v>
      </c>
    </row>
    <row r="100" spans="2:8" x14ac:dyDescent="0.25">
      <c r="B100" s="181" t="s">
        <v>84</v>
      </c>
      <c r="C100" s="183"/>
      <c r="D100" s="75">
        <f>44757.64-91.98+12122.23-24.91+13838.96-28.44+23878.03</f>
        <v>94451.53</v>
      </c>
      <c r="E100" s="75">
        <f>44875.23+12222.5+13624.9+23571.21</f>
        <v>94293.84</v>
      </c>
      <c r="F100" s="75">
        <f t="shared" ref="F100:F107" si="1">E100</f>
        <v>94293.84</v>
      </c>
      <c r="G100" s="80">
        <f>29040.93+7474.34+6678.25+3-11037.6+15.33-2989.44+4.15-3412.8+4.74+2716.93</f>
        <v>28497.830000000013</v>
      </c>
    </row>
    <row r="101" spans="2:8" ht="30" customHeight="1" x14ac:dyDescent="0.25">
      <c r="B101" s="174" t="s">
        <v>85</v>
      </c>
      <c r="C101" s="175"/>
      <c r="D101" s="75">
        <v>27885.96</v>
      </c>
      <c r="E101" s="75">
        <v>27366.14</v>
      </c>
      <c r="F101" s="75">
        <f t="shared" si="1"/>
        <v>27366.14</v>
      </c>
      <c r="G101" s="80">
        <f>15318.77-6971.49</f>
        <v>8347.2800000000007</v>
      </c>
    </row>
    <row r="102" spans="2:8" ht="30" customHeight="1" x14ac:dyDescent="0.25">
      <c r="B102" s="174" t="s">
        <v>86</v>
      </c>
      <c r="C102" s="175"/>
      <c r="D102" s="75">
        <f>7126.68</f>
        <v>7126.68</v>
      </c>
      <c r="E102" s="75">
        <v>7000.65</v>
      </c>
      <c r="F102" s="75">
        <f t="shared" si="1"/>
        <v>7000.65</v>
      </c>
      <c r="G102" s="80">
        <f>3776.95-1781.67</f>
        <v>1995.2799999999997</v>
      </c>
    </row>
    <row r="103" spans="2:8" x14ac:dyDescent="0.25">
      <c r="B103" s="174" t="s">
        <v>87</v>
      </c>
      <c r="C103" s="175"/>
      <c r="D103" s="75"/>
      <c r="E103" s="75"/>
      <c r="F103" s="75"/>
      <c r="G103" s="80"/>
    </row>
    <row r="104" spans="2:8" x14ac:dyDescent="0.25">
      <c r="B104" s="174" t="s">
        <v>88</v>
      </c>
      <c r="C104" s="175"/>
      <c r="D104" s="75">
        <v>4957.4399999999996</v>
      </c>
      <c r="E104" s="75">
        <v>4868.53</v>
      </c>
      <c r="F104" s="75">
        <f t="shared" si="1"/>
        <v>4868.53</v>
      </c>
      <c r="G104" s="80">
        <f>2785.12-1239.36</f>
        <v>1545.76</v>
      </c>
    </row>
    <row r="105" spans="2:8" x14ac:dyDescent="0.25">
      <c r="B105" s="174" t="s">
        <v>150</v>
      </c>
      <c r="C105" s="175"/>
      <c r="D105" s="75">
        <v>24920</v>
      </c>
      <c r="E105" s="75">
        <f>24103.42+20.31</f>
        <v>24123.73</v>
      </c>
      <c r="F105" s="75">
        <f t="shared" si="1"/>
        <v>24123.73</v>
      </c>
      <c r="G105" s="80">
        <f>15534.15+824.2-6230</f>
        <v>10128.35</v>
      </c>
    </row>
    <row r="106" spans="2:8" x14ac:dyDescent="0.25">
      <c r="B106" s="174" t="s">
        <v>89</v>
      </c>
      <c r="C106" s="175"/>
      <c r="D106" s="75">
        <v>12224.96</v>
      </c>
      <c r="E106" s="75">
        <v>11758.99</v>
      </c>
      <c r="F106" s="75">
        <f t="shared" si="1"/>
        <v>11758.99</v>
      </c>
      <c r="G106" s="80">
        <f>8939.87-3056.24</f>
        <v>5883.630000000001</v>
      </c>
    </row>
    <row r="107" spans="2:8" ht="30" x14ac:dyDescent="0.25">
      <c r="B107" s="72" t="s">
        <v>81</v>
      </c>
      <c r="C107" s="73"/>
      <c r="D107" s="75">
        <f>-116.16+0.24</f>
        <v>-115.92</v>
      </c>
      <c r="E107" s="75">
        <f>5970.55+5.31+52.35+71.94</f>
        <v>6100.1500000000005</v>
      </c>
      <c r="F107" s="75">
        <f t="shared" si="1"/>
        <v>6100.1500000000005</v>
      </c>
      <c r="G107" s="80">
        <f>13.7+1619.11+169.9+1718.14</f>
        <v>3520.8500000000004</v>
      </c>
    </row>
    <row r="108" spans="2:8" ht="18.75" customHeight="1" x14ac:dyDescent="0.25">
      <c r="B108" s="202" t="s">
        <v>90</v>
      </c>
      <c r="C108" s="203"/>
      <c r="D108" s="74">
        <f>SUM(D99:D107)</f>
        <v>251080.76999999996</v>
      </c>
      <c r="E108" s="74">
        <f>SUM(E99:E107)</f>
        <v>229605.53999999998</v>
      </c>
      <c r="F108" s="75">
        <f>E108</f>
        <v>229605.53999999998</v>
      </c>
      <c r="G108" s="74">
        <f>SUM(G99:G107)</f>
        <v>82654.560000000027</v>
      </c>
    </row>
    <row r="109" spans="2:8" x14ac:dyDescent="0.25">
      <c r="B109" s="202" t="s">
        <v>91</v>
      </c>
      <c r="C109" s="203"/>
      <c r="D109" s="82">
        <f>D108+F120+E38+C143</f>
        <v>3010254.6399999997</v>
      </c>
      <c r="E109" s="82">
        <f>E108+G120+F38+D143</f>
        <v>2653708.04</v>
      </c>
      <c r="F109" s="82">
        <f>E109</f>
        <v>2653708.04</v>
      </c>
      <c r="G109" s="82">
        <f>G38+G108+H120+F143</f>
        <v>1104641.6299999999</v>
      </c>
    </row>
    <row r="110" spans="2:8" x14ac:dyDescent="0.25">
      <c r="B110" s="16"/>
      <c r="C110" s="16"/>
      <c r="D110" s="16"/>
      <c r="E110" s="17"/>
      <c r="F110" s="17"/>
      <c r="G110" s="17"/>
      <c r="H110" s="17"/>
    </row>
    <row r="111" spans="2:8" x14ac:dyDescent="0.25">
      <c r="B111" s="204" t="s">
        <v>92</v>
      </c>
      <c r="C111" s="201"/>
      <c r="D111" s="201"/>
      <c r="E111" s="201"/>
      <c r="F111" s="201"/>
    </row>
    <row r="112" spans="2:8" ht="38.25" customHeight="1" x14ac:dyDescent="0.25">
      <c r="B112" s="194" t="s">
        <v>29</v>
      </c>
      <c r="C112" s="194" t="s">
        <v>93</v>
      </c>
      <c r="D112" s="194"/>
      <c r="E112" s="205" t="s">
        <v>94</v>
      </c>
      <c r="F112" s="194" t="s">
        <v>30</v>
      </c>
      <c r="G112" s="194" t="s">
        <v>31</v>
      </c>
      <c r="H112" s="195" t="s">
        <v>95</v>
      </c>
    </row>
    <row r="113" spans="2:8" ht="35.25" customHeight="1" x14ac:dyDescent="0.25">
      <c r="B113" s="194"/>
      <c r="C113" s="79" t="s">
        <v>96</v>
      </c>
      <c r="D113" s="19" t="s">
        <v>97</v>
      </c>
      <c r="E113" s="205"/>
      <c r="F113" s="194"/>
      <c r="G113" s="194"/>
      <c r="H113" s="195"/>
    </row>
    <row r="114" spans="2:8" x14ac:dyDescent="0.25">
      <c r="B114" s="10" t="s">
        <v>98</v>
      </c>
      <c r="C114" s="75">
        <v>1400.08</v>
      </c>
      <c r="D114" s="42">
        <v>1439.26</v>
      </c>
      <c r="E114" s="110">
        <f>F114/D114</f>
        <v>496.59736948153909</v>
      </c>
      <c r="F114" s="75">
        <f>-3435.46+714732.73+3435.46</f>
        <v>714732.73</v>
      </c>
      <c r="G114" s="75">
        <f>245.69+404804.95</f>
        <v>405050.64</v>
      </c>
      <c r="H114" s="75">
        <f>1796.45+411362.62-267705.2</f>
        <v>145453.87</v>
      </c>
    </row>
    <row r="115" spans="2:8" x14ac:dyDescent="0.25">
      <c r="B115" s="10" t="s">
        <v>147</v>
      </c>
      <c r="C115" s="75">
        <v>22.15</v>
      </c>
      <c r="D115" s="42">
        <v>26.44</v>
      </c>
      <c r="E115" s="110">
        <v>2402.7800000000002</v>
      </c>
      <c r="F115" s="75">
        <f>245600.59+4451.02+12766.75+14714.16+1138.67+3142.63+27642.54-11310.08+1075.26</f>
        <v>299221.53999999992</v>
      </c>
      <c r="G115" s="75">
        <f>256184.84+32752.48+5821.15+42616.12</f>
        <v>337374.59</v>
      </c>
      <c r="H115" s="75">
        <f>478080.4+18671.25+2702.74+2287.69-20.99-0.01-63036.85-2744.26-1260.91-261.95+97.84-712.97</f>
        <v>433801.9800000001</v>
      </c>
    </row>
    <row r="116" spans="2:8" x14ac:dyDescent="0.25">
      <c r="B116" s="10" t="s">
        <v>99</v>
      </c>
      <c r="C116" s="75">
        <v>18.43</v>
      </c>
      <c r="D116" s="42">
        <v>19.22</v>
      </c>
      <c r="E116" s="110">
        <v>4626.16</v>
      </c>
      <c r="F116" s="75">
        <f>10707.89-1238.63+1514.61+138.87+78206.88+2047.66+23971.08+8720.87</f>
        <v>124069.23000000001</v>
      </c>
      <c r="G116" s="75">
        <f>9118.19+1073.31+77762.83+16730.38</f>
        <v>104684.71</v>
      </c>
      <c r="H116" s="75">
        <f>17710.37+580.17+78096.4+27023.76-2770.45+188.93-249.94-138.87-18775.09-770.11-12492.94+311.23</f>
        <v>88713.459999999977</v>
      </c>
    </row>
    <row r="117" spans="2:8" x14ac:dyDescent="0.25">
      <c r="B117" s="10" t="s">
        <v>100</v>
      </c>
      <c r="C117" s="75">
        <v>12.31</v>
      </c>
      <c r="D117" s="42">
        <v>12.84</v>
      </c>
      <c r="E117" s="110">
        <v>6842.62</v>
      </c>
      <c r="F117" s="75">
        <f>81684.17+2294.63-542.63</f>
        <v>83436.17</v>
      </c>
      <c r="G117" s="75">
        <f>79526.3+19.55</f>
        <v>79545.850000000006</v>
      </c>
      <c r="H117" s="75">
        <f>114203.12-20888.74-703.04</f>
        <v>92611.34</v>
      </c>
    </row>
    <row r="118" spans="2:8" x14ac:dyDescent="0.25">
      <c r="B118" s="10" t="s">
        <v>101</v>
      </c>
      <c r="C118" s="75" t="s">
        <v>145</v>
      </c>
      <c r="D118" s="42" t="s">
        <v>146</v>
      </c>
      <c r="E118" s="110">
        <v>104826.29</v>
      </c>
      <c r="F118" s="75">
        <f>20971.49-179.4+245395.38-4231.53</f>
        <v>261955.94000000003</v>
      </c>
      <c r="G118" s="75">
        <f>13314.91+227103.35</f>
        <v>240418.26</v>
      </c>
      <c r="H118" s="75">
        <f>23887.81+154518.75-11567.82-21.45-60790.54+29.22</f>
        <v>106055.96999999997</v>
      </c>
    </row>
    <row r="119" spans="2:8" x14ac:dyDescent="0.25">
      <c r="B119" s="10" t="s">
        <v>102</v>
      </c>
      <c r="C119" s="75">
        <v>2.2999999999999998</v>
      </c>
      <c r="D119" s="42">
        <v>2.39</v>
      </c>
      <c r="E119" s="110">
        <f t="shared" ref="E119" si="2">F119/D119</f>
        <v>11036.309623430963</v>
      </c>
      <c r="F119" s="75">
        <f>25403.24+973.54</f>
        <v>26376.780000000002</v>
      </c>
      <c r="G119" s="75">
        <v>24614.48</v>
      </c>
      <c r="H119" s="75">
        <f>10497.06-6206.43-68.94</f>
        <v>4221.6899999999996</v>
      </c>
    </row>
    <row r="120" spans="2:8" x14ac:dyDescent="0.25">
      <c r="B120" s="11" t="s">
        <v>103</v>
      </c>
      <c r="C120" s="74"/>
      <c r="D120" s="42"/>
      <c r="E120" s="4"/>
      <c r="F120" s="74">
        <f>SUM(F114:F119)</f>
        <v>1509792.39</v>
      </c>
      <c r="G120" s="74">
        <f>SUM(G114:G119)</f>
        <v>1191688.5299999998</v>
      </c>
      <c r="H120" s="74">
        <f>SUM(H114:H119)</f>
        <v>870858.30999999994</v>
      </c>
    </row>
    <row r="121" spans="2:8" x14ac:dyDescent="0.25">
      <c r="B121" s="16"/>
      <c r="C121" s="16"/>
      <c r="D121" s="16"/>
      <c r="E121" s="17"/>
      <c r="F121" s="17"/>
      <c r="G121" s="17"/>
      <c r="H121" s="17"/>
    </row>
    <row r="122" spans="2:8" x14ac:dyDescent="0.25">
      <c r="B122" s="16"/>
      <c r="C122" s="16" t="s">
        <v>244</v>
      </c>
      <c r="D122" s="16"/>
      <c r="E122" s="17"/>
      <c r="F122" s="17"/>
      <c r="G122" s="17"/>
      <c r="H122" s="17"/>
    </row>
    <row r="123" spans="2:8" x14ac:dyDescent="0.25">
      <c r="B123" s="137" t="s">
        <v>228</v>
      </c>
      <c r="C123" s="137" t="s">
        <v>229</v>
      </c>
      <c r="D123" s="137"/>
      <c r="E123" s="131" t="s">
        <v>230</v>
      </c>
      <c r="F123" s="17"/>
      <c r="G123" s="17"/>
      <c r="H123" s="17"/>
    </row>
    <row r="124" spans="2:8" x14ac:dyDescent="0.25">
      <c r="B124" s="133" t="s">
        <v>231</v>
      </c>
      <c r="C124" s="199">
        <v>18</v>
      </c>
      <c r="D124" s="200"/>
      <c r="E124" s="105">
        <v>100</v>
      </c>
      <c r="F124" s="17"/>
      <c r="G124" s="17"/>
      <c r="H124" s="17"/>
    </row>
    <row r="125" spans="2:8" x14ac:dyDescent="0.25">
      <c r="B125" s="133" t="s">
        <v>232</v>
      </c>
      <c r="C125" s="199">
        <v>18</v>
      </c>
      <c r="D125" s="200"/>
      <c r="E125" s="105">
        <v>100</v>
      </c>
      <c r="F125" s="17"/>
      <c r="G125" s="17"/>
      <c r="H125" s="17"/>
    </row>
    <row r="126" spans="2:8" x14ac:dyDescent="0.25">
      <c r="B126" s="133" t="s">
        <v>233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234</v>
      </c>
      <c r="C127" s="199">
        <v>1</v>
      </c>
      <c r="D127" s="200"/>
      <c r="E127" s="105">
        <v>100</v>
      </c>
      <c r="F127" s="17"/>
      <c r="G127" s="17"/>
      <c r="H127" s="17"/>
    </row>
    <row r="128" spans="2:8" x14ac:dyDescent="0.25">
      <c r="B128" s="133" t="s">
        <v>235</v>
      </c>
      <c r="C128" s="199"/>
      <c r="D128" s="200"/>
      <c r="E128" s="105"/>
      <c r="F128" s="17"/>
      <c r="G128" s="17"/>
      <c r="H128" s="17"/>
    </row>
    <row r="129" spans="2:8" x14ac:dyDescent="0.25">
      <c r="B129" s="133" t="s">
        <v>236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70</v>
      </c>
      <c r="C130" s="199">
        <v>1</v>
      </c>
      <c r="D130" s="200"/>
      <c r="E130" s="105">
        <v>100</v>
      </c>
      <c r="F130" s="17"/>
      <c r="G130" s="17"/>
      <c r="H130" s="17"/>
    </row>
    <row r="131" spans="2:8" x14ac:dyDescent="0.25">
      <c r="B131" s="133" t="s">
        <v>237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238</v>
      </c>
      <c r="C132" s="199">
        <v>3</v>
      </c>
      <c r="D132" s="200"/>
      <c r="E132" s="105">
        <v>100</v>
      </c>
      <c r="F132" s="17"/>
      <c r="G132" s="17"/>
      <c r="H132" s="17"/>
    </row>
    <row r="133" spans="2:8" x14ac:dyDescent="0.25">
      <c r="B133" s="133" t="s">
        <v>239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240</v>
      </c>
      <c r="C134" s="199"/>
      <c r="D134" s="200"/>
      <c r="E134" s="105"/>
      <c r="F134" s="17"/>
      <c r="G134" s="17"/>
      <c r="H134" s="17"/>
    </row>
    <row r="135" spans="2:8" x14ac:dyDescent="0.25">
      <c r="B135" s="133" t="s">
        <v>241</v>
      </c>
      <c r="C135" s="199"/>
      <c r="D135" s="200"/>
      <c r="E135" s="129"/>
      <c r="F135" s="17"/>
      <c r="G135" s="17"/>
      <c r="H135" s="17"/>
    </row>
    <row r="136" spans="2:8" x14ac:dyDescent="0.25">
      <c r="B136" s="133" t="s">
        <v>242</v>
      </c>
      <c r="C136" s="199"/>
      <c r="D136" s="200"/>
      <c r="E136" s="129"/>
      <c r="F136" s="17"/>
      <c r="G136" s="17"/>
      <c r="H136" s="17"/>
    </row>
    <row r="137" spans="2:8" x14ac:dyDescent="0.25">
      <c r="B137" s="133" t="s">
        <v>243</v>
      </c>
      <c r="C137" s="199"/>
      <c r="D137" s="200"/>
      <c r="E137" s="129"/>
      <c r="F137" s="17"/>
      <c r="G137" s="17"/>
      <c r="H137" s="17"/>
    </row>
    <row r="138" spans="2:8" x14ac:dyDescent="0.25">
      <c r="B138" s="139" t="s">
        <v>103</v>
      </c>
      <c r="C138" s="245">
        <f>SUM(C124:C137)</f>
        <v>41</v>
      </c>
      <c r="D138" s="246"/>
      <c r="E138" s="145">
        <v>100</v>
      </c>
      <c r="F138" s="9"/>
      <c r="G138" s="9"/>
      <c r="H138" s="17"/>
    </row>
    <row r="139" spans="2:8" x14ac:dyDescent="0.25">
      <c r="B139" s="12"/>
      <c r="C139" s="12"/>
      <c r="D139" s="9"/>
      <c r="E139" s="9"/>
      <c r="F139" s="9"/>
      <c r="G139" s="9"/>
    </row>
    <row r="140" spans="2:8" ht="44.25" customHeight="1" x14ac:dyDescent="0.25">
      <c r="B140" s="33"/>
      <c r="C140" s="74" t="s">
        <v>30</v>
      </c>
      <c r="D140" s="74" t="s">
        <v>31</v>
      </c>
      <c r="E140" s="77" t="s">
        <v>104</v>
      </c>
      <c r="F140" s="77" t="s">
        <v>32</v>
      </c>
    </row>
    <row r="141" spans="2:8" x14ac:dyDescent="0.25">
      <c r="B141" s="32" t="s">
        <v>105</v>
      </c>
      <c r="C141" s="75">
        <v>145524</v>
      </c>
      <c r="D141" s="75">
        <f>143435.85+69.54+10.88</f>
        <v>143516.27000000002</v>
      </c>
      <c r="E141" s="75"/>
      <c r="F141" s="80">
        <f>71901.75+1316+181.4+0.05-36381</f>
        <v>37018.199999999997</v>
      </c>
    </row>
    <row r="142" spans="2:8" x14ac:dyDescent="0.25">
      <c r="B142" s="32" t="s">
        <v>106</v>
      </c>
      <c r="C142" s="75">
        <v>8033.92</v>
      </c>
      <c r="D142" s="75">
        <f>2.59+7046.47</f>
        <v>7049.06</v>
      </c>
      <c r="E142" s="103"/>
      <c r="F142" s="80">
        <f>575.66+11679.28-2008.48</f>
        <v>10246.460000000001</v>
      </c>
    </row>
    <row r="143" spans="2:8" x14ac:dyDescent="0.25">
      <c r="B143" s="33" t="s">
        <v>107</v>
      </c>
      <c r="C143" s="74">
        <f>SUM(C141:C142)</f>
        <v>153557.92000000001</v>
      </c>
      <c r="D143" s="74">
        <f>SUM(D141:D142)</f>
        <v>150565.33000000002</v>
      </c>
      <c r="E143" s="75"/>
      <c r="F143" s="74">
        <f>SUM(F141:F142)</f>
        <v>47264.659999999996</v>
      </c>
    </row>
    <row r="145" spans="2:6" x14ac:dyDescent="0.25">
      <c r="B145" s="177" t="s">
        <v>108</v>
      </c>
      <c r="C145" s="178"/>
      <c r="D145" s="179"/>
      <c r="E145" s="196">
        <f>G109</f>
        <v>1104641.6299999999</v>
      </c>
      <c r="F145" s="197"/>
    </row>
    <row r="147" spans="2:6" x14ac:dyDescent="0.25">
      <c r="B147" s="198" t="s">
        <v>109</v>
      </c>
      <c r="C147" s="198"/>
      <c r="D147" s="198"/>
      <c r="E147" s="256">
        <v>8017515.3099999996</v>
      </c>
      <c r="F147" s="256"/>
    </row>
    <row r="148" spans="2:6" x14ac:dyDescent="0.25">
      <c r="B148" s="192" t="s">
        <v>110</v>
      </c>
      <c r="C148" s="192"/>
      <c r="D148" s="192"/>
      <c r="E148" s="193">
        <v>2125737</v>
      </c>
      <c r="F148" s="193"/>
    </row>
    <row r="149" spans="2:6" x14ac:dyDescent="0.25">
      <c r="B149" s="192" t="s">
        <v>111</v>
      </c>
      <c r="C149" s="192"/>
      <c r="D149" s="192"/>
      <c r="E149" s="193">
        <v>928463</v>
      </c>
      <c r="F149" s="193"/>
    </row>
    <row r="150" spans="2:6" x14ac:dyDescent="0.25">
      <c r="B150" s="192" t="s">
        <v>112</v>
      </c>
      <c r="C150" s="192"/>
      <c r="D150" s="192"/>
      <c r="E150" s="193">
        <v>2320000</v>
      </c>
      <c r="F150" s="193"/>
    </row>
    <row r="151" spans="2:6" x14ac:dyDescent="0.25">
      <c r="B151" s="192" t="s">
        <v>167</v>
      </c>
      <c r="C151" s="192"/>
      <c r="D151" s="192"/>
      <c r="E151" s="193">
        <v>2471958</v>
      </c>
      <c r="F151" s="193"/>
    </row>
    <row r="153" spans="2:6" x14ac:dyDescent="0.25">
      <c r="B153" s="177" t="s">
        <v>114</v>
      </c>
      <c r="C153" s="178"/>
      <c r="D153" s="179"/>
      <c r="E153" s="193"/>
      <c r="F153" s="193"/>
    </row>
    <row r="155" spans="2:6" hidden="1" x14ac:dyDescent="0.25">
      <c r="B155" s="181" t="s">
        <v>123</v>
      </c>
      <c r="C155" s="183"/>
      <c r="D155" s="75" t="s">
        <v>124</v>
      </c>
      <c r="E155" s="176" t="s">
        <v>122</v>
      </c>
      <c r="F155" s="176"/>
    </row>
    <row r="156" spans="2:6" hidden="1" x14ac:dyDescent="0.25">
      <c r="B156" s="181" t="s">
        <v>125</v>
      </c>
      <c r="C156" s="183"/>
      <c r="D156" s="75" t="s">
        <v>126</v>
      </c>
      <c r="E156" s="176" t="s">
        <v>122</v>
      </c>
      <c r="F156" s="176"/>
    </row>
    <row r="157" spans="2:6" ht="30" hidden="1" customHeight="1" x14ac:dyDescent="0.25">
      <c r="B157" s="174" t="s">
        <v>127</v>
      </c>
      <c r="C157" s="175"/>
      <c r="D157" s="75" t="s">
        <v>128</v>
      </c>
      <c r="E157" s="176" t="s">
        <v>122</v>
      </c>
      <c r="F157" s="176"/>
    </row>
    <row r="158" spans="2:6" ht="30" hidden="1" customHeight="1" x14ac:dyDescent="0.25">
      <c r="B158" s="174" t="s">
        <v>129</v>
      </c>
      <c r="C158" s="175"/>
      <c r="D158" s="75" t="s">
        <v>130</v>
      </c>
      <c r="E158" s="176"/>
      <c r="F158" s="176"/>
    </row>
    <row r="159" spans="2:6" ht="30" hidden="1" x14ac:dyDescent="0.25">
      <c r="B159" s="174" t="s">
        <v>131</v>
      </c>
      <c r="C159" s="175"/>
      <c r="D159" s="24" t="s">
        <v>132</v>
      </c>
      <c r="E159" s="176" t="s">
        <v>133</v>
      </c>
      <c r="F159" s="176"/>
    </row>
    <row r="160" spans="2:6" hidden="1" x14ac:dyDescent="0.25">
      <c r="B160" s="181" t="s">
        <v>134</v>
      </c>
      <c r="C160" s="183"/>
      <c r="D160" s="10" t="s">
        <v>135</v>
      </c>
      <c r="E160" s="176"/>
      <c r="F160" s="176"/>
    </row>
    <row r="161" spans="2:8" ht="30" hidden="1" customHeight="1" x14ac:dyDescent="0.25">
      <c r="B161" s="174" t="s">
        <v>136</v>
      </c>
      <c r="C161" s="175"/>
      <c r="D161" s="10" t="s">
        <v>137</v>
      </c>
      <c r="E161" s="176"/>
      <c r="F161" s="176"/>
    </row>
    <row r="162" spans="2:8" ht="30" hidden="1" customHeight="1" x14ac:dyDescent="0.25">
      <c r="B162" s="174" t="s">
        <v>138</v>
      </c>
      <c r="C162" s="175"/>
      <c r="D162" s="75" t="s">
        <v>139</v>
      </c>
      <c r="E162" s="176"/>
      <c r="F162" s="176"/>
    </row>
    <row r="163" spans="2:8" x14ac:dyDescent="0.25">
      <c r="B163" s="177" t="s">
        <v>74</v>
      </c>
      <c r="C163" s="178"/>
      <c r="D163" s="179"/>
      <c r="E163" s="180">
        <v>1200</v>
      </c>
      <c r="F163" s="180"/>
      <c r="G163" s="25"/>
      <c r="H163" s="25"/>
    </row>
    <row r="164" spans="2:8" x14ac:dyDescent="0.25">
      <c r="B164" s="181" t="s">
        <v>75</v>
      </c>
      <c r="C164" s="182"/>
      <c r="D164" s="183"/>
      <c r="E164" s="176"/>
      <c r="F164" s="176"/>
      <c r="G164" s="26"/>
      <c r="H164" s="26"/>
    </row>
    <row r="165" spans="2:8" x14ac:dyDescent="0.25">
      <c r="B165" s="181" t="s">
        <v>76</v>
      </c>
      <c r="C165" s="182"/>
      <c r="D165" s="183"/>
      <c r="E165" s="184"/>
      <c r="F165" s="184"/>
      <c r="G165" s="27"/>
      <c r="H165" s="27"/>
    </row>
    <row r="166" spans="2:8" x14ac:dyDescent="0.25">
      <c r="B166" s="181" t="s">
        <v>77</v>
      </c>
      <c r="C166" s="182"/>
      <c r="D166" s="183"/>
      <c r="E166" s="184"/>
      <c r="F166" s="184"/>
      <c r="G166" s="27"/>
      <c r="H166" s="27"/>
    </row>
    <row r="167" spans="2:8" x14ac:dyDescent="0.25">
      <c r="B167" s="177" t="s">
        <v>78</v>
      </c>
      <c r="C167" s="178"/>
      <c r="D167" s="179"/>
      <c r="E167" s="180"/>
      <c r="F167" s="180"/>
      <c r="G167" s="25"/>
      <c r="H167" s="25"/>
    </row>
    <row r="168" spans="2:8" x14ac:dyDescent="0.25">
      <c r="B168" s="181" t="s">
        <v>79</v>
      </c>
      <c r="C168" s="182"/>
      <c r="D168" s="183"/>
      <c r="E168" s="184">
        <v>6480</v>
      </c>
      <c r="F168" s="184"/>
      <c r="G168" s="27"/>
      <c r="H168" s="27"/>
    </row>
    <row r="169" spans="2:8" x14ac:dyDescent="0.25">
      <c r="B169" s="177" t="s">
        <v>80</v>
      </c>
      <c r="C169" s="178"/>
      <c r="D169" s="179"/>
      <c r="E169" s="184"/>
      <c r="F169" s="184"/>
      <c r="G169" s="27"/>
      <c r="H169" s="27"/>
    </row>
    <row r="170" spans="2:8" x14ac:dyDescent="0.25">
      <c r="B170" s="16"/>
      <c r="C170" s="16"/>
      <c r="D170" s="16"/>
      <c r="E170" s="17"/>
      <c r="F170" s="17"/>
      <c r="G170" s="17"/>
      <c r="H170" s="17"/>
    </row>
    <row r="171" spans="2:8" ht="36" customHeight="1" x14ac:dyDescent="0.25">
      <c r="B171" s="185" t="s">
        <v>115</v>
      </c>
      <c r="C171" s="186"/>
      <c r="D171" s="186"/>
      <c r="E171" s="186"/>
      <c r="F171" s="21" t="s">
        <v>116</v>
      </c>
    </row>
    <row r="172" spans="2:8" ht="14.45" customHeight="1" x14ac:dyDescent="0.25">
      <c r="B172" s="187" t="s">
        <v>117</v>
      </c>
      <c r="C172" s="188" t="s">
        <v>118</v>
      </c>
      <c r="D172" s="190" t="s">
        <v>119</v>
      </c>
      <c r="E172" s="191"/>
      <c r="F172" s="4"/>
    </row>
    <row r="173" spans="2:8" x14ac:dyDescent="0.25">
      <c r="B173" s="187"/>
      <c r="C173" s="189"/>
      <c r="D173" s="81" t="s">
        <v>120</v>
      </c>
      <c r="E173" s="81" t="s">
        <v>121</v>
      </c>
      <c r="F173" s="4"/>
    </row>
    <row r="174" spans="2:8" x14ac:dyDescent="0.25">
      <c r="B174" s="115"/>
      <c r="C174" s="124"/>
      <c r="D174" s="115"/>
      <c r="E174" s="115"/>
      <c r="F174" s="4"/>
    </row>
    <row r="175" spans="2:8" x14ac:dyDescent="0.25">
      <c r="B175" s="115"/>
      <c r="C175" s="115"/>
      <c r="D175" s="115"/>
      <c r="E175" s="115"/>
      <c r="F175" s="4"/>
    </row>
    <row r="176" spans="2:8" x14ac:dyDescent="0.25">
      <c r="B176" s="126"/>
      <c r="C176" s="126"/>
      <c r="D176" s="126"/>
      <c r="E176" s="126"/>
      <c r="F176" s="121"/>
    </row>
    <row r="177" spans="2:6" x14ac:dyDescent="0.25">
      <c r="B177" s="120" t="s">
        <v>247</v>
      </c>
      <c r="C177" s="120"/>
      <c r="D177" s="121" t="s">
        <v>248</v>
      </c>
      <c r="E177" s="121"/>
      <c r="F177" s="121"/>
    </row>
    <row r="178" spans="2:6" x14ac:dyDescent="0.25">
      <c r="B178" s="120"/>
      <c r="C178" s="120"/>
      <c r="D178" s="121"/>
      <c r="E178" s="121"/>
      <c r="F178" s="121"/>
    </row>
  </sheetData>
  <mergeCells count="185">
    <mergeCell ref="B66:C66"/>
    <mergeCell ref="B67:C67"/>
    <mergeCell ref="B68:C68"/>
    <mergeCell ref="B69:C69"/>
    <mergeCell ref="B70:C70"/>
    <mergeCell ref="B71:C71"/>
    <mergeCell ref="B72:C72"/>
    <mergeCell ref="B73:C73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76:C76"/>
    <mergeCell ref="B77:C77"/>
    <mergeCell ref="B78:C78"/>
    <mergeCell ref="B79:C79"/>
    <mergeCell ref="B80:C80"/>
    <mergeCell ref="B81:C81"/>
    <mergeCell ref="B50:C50"/>
    <mergeCell ref="B51:C51"/>
    <mergeCell ref="B52:C52"/>
    <mergeCell ref="B53:C53"/>
    <mergeCell ref="B74:C74"/>
    <mergeCell ref="B75:C7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94:C94"/>
    <mergeCell ref="B95:C95"/>
    <mergeCell ref="B99:C99"/>
    <mergeCell ref="B100:C100"/>
    <mergeCell ref="B101:C101"/>
    <mergeCell ref="B102:C102"/>
    <mergeCell ref="B103:C103"/>
    <mergeCell ref="B104:C104"/>
    <mergeCell ref="B97:G97"/>
    <mergeCell ref="B98:C98"/>
    <mergeCell ref="C136:D136"/>
    <mergeCell ref="C137:D137"/>
    <mergeCell ref="C138:D138"/>
    <mergeCell ref="B105:C105"/>
    <mergeCell ref="B106:C106"/>
    <mergeCell ref="B108:C108"/>
    <mergeCell ref="B109:C109"/>
    <mergeCell ref="B111:F111"/>
    <mergeCell ref="B112:B113"/>
    <mergeCell ref="C112:D112"/>
    <mergeCell ref="E112:E113"/>
    <mergeCell ref="F112:F113"/>
    <mergeCell ref="B148:D148"/>
    <mergeCell ref="E148:F148"/>
    <mergeCell ref="B149:D149"/>
    <mergeCell ref="E149:F149"/>
    <mergeCell ref="B150:D150"/>
    <mergeCell ref="E150:F150"/>
    <mergeCell ref="G112:G113"/>
    <mergeCell ref="H112:H113"/>
    <mergeCell ref="B145:D145"/>
    <mergeCell ref="E145:F145"/>
    <mergeCell ref="B147:D147"/>
    <mergeCell ref="E147:F147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B156:C156"/>
    <mergeCell ref="E156:F156"/>
    <mergeCell ref="B157:C157"/>
    <mergeCell ref="E157:F157"/>
    <mergeCell ref="B158:C158"/>
    <mergeCell ref="E158:F158"/>
    <mergeCell ref="B151:D151"/>
    <mergeCell ref="E151:F151"/>
    <mergeCell ref="B153:D153"/>
    <mergeCell ref="E153:F153"/>
    <mergeCell ref="B155:C155"/>
    <mergeCell ref="E155:F155"/>
    <mergeCell ref="B169:D169"/>
    <mergeCell ref="E169:F169"/>
    <mergeCell ref="B171:E171"/>
    <mergeCell ref="B172:B173"/>
    <mergeCell ref="C172:C173"/>
    <mergeCell ref="D172:E172"/>
    <mergeCell ref="B165:D165"/>
    <mergeCell ref="E165:F165"/>
    <mergeCell ref="B166:D166"/>
    <mergeCell ref="E166:F166"/>
    <mergeCell ref="B167:D167"/>
    <mergeCell ref="E167:F167"/>
    <mergeCell ref="B162:C162"/>
    <mergeCell ref="E162:F162"/>
    <mergeCell ref="B163:D163"/>
    <mergeCell ref="E163:F163"/>
    <mergeCell ref="B164:D164"/>
    <mergeCell ref="E164:F164"/>
    <mergeCell ref="B159:C159"/>
    <mergeCell ref="B168:D168"/>
    <mergeCell ref="E168:F168"/>
    <mergeCell ref="E159:F159"/>
    <mergeCell ref="B160:C160"/>
    <mergeCell ref="E160:F160"/>
    <mergeCell ref="B161:C161"/>
    <mergeCell ref="E161:F161"/>
  </mergeCells>
  <pageMargins left="0.11811023622047245" right="0.11811023622047245" top="0.15748031496062992" bottom="0.15748031496062992" header="0.31496062992125984" footer="0.31496062992125984"/>
  <pageSetup paperSize="9" scale="59" orientation="portrait" r:id="rId1"/>
  <headerFooter alignWithMargins="0"/>
  <rowBreaks count="2" manualBreakCount="2">
    <brk id="70" max="7" man="1"/>
    <brk id="12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1"/>
  <sheetViews>
    <sheetView tabSelected="1" view="pageBreakPreview" zoomScale="70" zoomScaleSheetLayoutView="70" workbookViewId="0">
      <selection activeCell="E176" sqref="E176:F176"/>
    </sheetView>
  </sheetViews>
  <sheetFormatPr defaultRowHeight="15" x14ac:dyDescent="0.25"/>
  <cols>
    <col min="1" max="1" width="4.28515625" customWidth="1"/>
    <col min="2" max="2" width="44.85546875" customWidth="1"/>
    <col min="3" max="3" width="13" customWidth="1"/>
    <col min="4" max="4" width="21.140625" customWidth="1"/>
    <col min="5" max="5" width="17" customWidth="1"/>
    <col min="6" max="6" width="17.85546875" customWidth="1"/>
    <col min="7" max="7" width="16.7109375" customWidth="1"/>
    <col min="8" max="8" width="18.1406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214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215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/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4</v>
      </c>
      <c r="C8" s="192"/>
      <c r="D8" s="192"/>
      <c r="E8" s="176">
        <f>'3,19'!E9:G9+'3,15'!E9:G9+'3,14'!E9:G9+'3,12'!E9:G9+'3,11'!E9:G9+'3,09'!E9:G9+'3,06'!E9:G9+'3,05'!E9:G9+'3,03'!E9:G9+'3,01'!E9:G9+'2,21'!E9:G9+'2,20'!E9:G9+'2,17'!E9:G9+'2,11'!E9:G9+'2,10'!E9:G9+'2,09'!E9:G9+'2,08'!E9:G9+'2,07'!E9:G9+'2,06'!E9:G9+'2,05'!E9:G9+'2,04'!E9:G9+'2,03'!E9:G9+'2,02'!E9:G9+'2,01'!E9:G9+'1,17'!E9:G9+'1,14'!E9:G9+'1,13'!E9:G9</f>
        <v>275362.20999999996</v>
      </c>
      <c r="F8" s="176"/>
      <c r="G8" s="176"/>
      <c r="H8" s="2"/>
    </row>
    <row r="9" spans="1:8" x14ac:dyDescent="0.25">
      <c r="A9" s="100" t="s">
        <v>217</v>
      </c>
      <c r="B9" s="192" t="s">
        <v>6</v>
      </c>
      <c r="C9" s="192"/>
      <c r="D9" s="192"/>
      <c r="E9" s="176">
        <f>'3,19'!E10:G10+'3,15'!E10:G10+'3,14'!E10:G10+'3,12'!E10:G10+'3,11'!E10:G10+'3,09'!E10:G10+'3,06'!E10:G10+'3,05'!E10:G10+'3,03'!E10:G10+'3,01'!E10:G10+'2,21'!E10:G10+'2,20'!E10:G10+'2,17'!E10:G10+'2,11'!E10:G10+'2,10'!E10:G10+'2,09'!E10:G10+'2,08'!E10:G10+'2,07'!E10:G10+'2,06'!E10:G10+'2,05'!E10:G10+'2,04'!E10:G10+'2,03'!E10:G10+'2,02'!E10:G10+'2,01'!E10:G10+'1,17'!E10:G10+'1,14'!E10:G10+'1,13'!E10:G10</f>
        <v>250327.01</v>
      </c>
      <c r="F9" s="176"/>
      <c r="G9" s="176"/>
      <c r="H9" s="2"/>
    </row>
    <row r="10" spans="1:8" x14ac:dyDescent="0.25">
      <c r="A10" s="4" t="s">
        <v>216</v>
      </c>
      <c r="B10" s="192" t="s">
        <v>8</v>
      </c>
      <c r="C10" s="192"/>
      <c r="D10" s="192"/>
      <c r="E10" s="176">
        <f>'3,19'!E11:G11+'3,15'!E11:G11+'3,14'!E11:G11+'3,12'!E11:G11+'3,11'!E11:G11+'3,09'!E11:G11+'3,06'!E11:G11+'3,05'!E11:G11+'3,03'!E11:G11+'3,01'!E11:G11+'2,21'!E11:G11+'2,20'!E11:G11+'2,17'!E11:G11+'2,11'!E11:G11+'2,10'!E11:G11+'2,09'!E11:G11+'2,08'!E11:G11+'2,07'!E11:G11+'2,06'!E11:G11+'2,05'!E11:G11+'2,04'!E11:G11+'2,03'!E11:G11+'2,02'!E11:G11+'2,01'!E11:G11+'1,17'!E11:G11+'1,14'!E11:G11+'1,13'!E11:G11</f>
        <v>25035.200000000001</v>
      </c>
      <c r="F10" s="176"/>
      <c r="G10" s="176"/>
      <c r="H10" s="2"/>
    </row>
    <row r="11" spans="1:8" x14ac:dyDescent="0.25">
      <c r="A11" s="4" t="s">
        <v>218</v>
      </c>
      <c r="B11" s="192" t="s">
        <v>10</v>
      </c>
      <c r="C11" s="192"/>
      <c r="D11" s="192"/>
      <c r="E11" s="176">
        <f>'3,19'!E12:G12+'3,15'!E12:G12+'3,14'!E12:G12+'3,12'!E12:G12+'3,11'!E12:G12+'3,09'!E12:G12+'3,06'!E12:G12+'3,05'!E12:G12+'3,03'!E12:G12+'3,01'!E12:G12+'2,21'!E12:G12+'2,20'!E12:G12+'2,17'!E12:G12+'2,11'!E12:G12+'2,10'!E12:G12+'2,09'!E12:G12+'2,08'!E12:G12+'2,07'!E12:G12+'2,06'!E12:G12+'2,05'!E12:G12+'2,04'!E12:G12+'2,03'!E12:G12+'2,02'!E12:G12+'2,01'!E12:G12+'1,17'!E12:G12+'1,14'!E12:G12+'1,13'!E12:G12</f>
        <v>275259.30999999994</v>
      </c>
      <c r="F11" s="176"/>
      <c r="G11" s="176"/>
      <c r="H11" s="2"/>
    </row>
    <row r="12" spans="1:8" x14ac:dyDescent="0.25">
      <c r="A12" s="3">
        <v>2</v>
      </c>
      <c r="B12" s="192" t="s">
        <v>219</v>
      </c>
      <c r="C12" s="192"/>
      <c r="D12" s="192"/>
      <c r="E12" s="176">
        <v>27</v>
      </c>
      <c r="F12" s="176"/>
      <c r="G12" s="176"/>
      <c r="H12" s="2"/>
    </row>
    <row r="13" spans="1:8" x14ac:dyDescent="0.25">
      <c r="A13" s="3">
        <v>3</v>
      </c>
      <c r="B13" s="192" t="s">
        <v>14</v>
      </c>
      <c r="C13" s="192"/>
      <c r="D13" s="192"/>
      <c r="E13" s="176">
        <v>208</v>
      </c>
      <c r="F13" s="176"/>
      <c r="G13" s="176"/>
      <c r="H13" s="2"/>
    </row>
    <row r="14" spans="1:8" x14ac:dyDescent="0.25">
      <c r="A14" s="3">
        <v>4</v>
      </c>
      <c r="B14" s="192" t="s">
        <v>13</v>
      </c>
      <c r="C14" s="192"/>
      <c r="D14" s="192"/>
      <c r="E14" s="176">
        <f>'3,19'!E15:G15+'3,15'!E15:G15+'3,14'!E15:G15+'3,12'!E15:G15+'3,11'!E15:G15+'3,09'!E15:G15+'3,06'!E15:G15+'3,05'!E15:G15+'3,03'!E15:G15+'3,01'!E15:G15+'2,21'!E15:G15+'2,20'!E15:G15+'2,17'!E15:G15+'2,10'!E15:G15+'2,09'!E15:G15+'2,08'!E15:G15+'2,07'!E15:G15+'2,06'!E15:G15+'2,05'!E15:G15+'2,04'!E15:G15+'2,03'!E15:G15+'2,02'!E15:G15+'2,01'!E15:G15+'1,17'!E15:G15+'1,14'!E15:G15+'1,13'!E15:G15+'2,11'!E15:G15</f>
        <v>5082</v>
      </c>
      <c r="F14" s="176"/>
      <c r="G14" s="176"/>
      <c r="H14" s="2"/>
    </row>
    <row r="15" spans="1:8" x14ac:dyDescent="0.25">
      <c r="A15" s="3">
        <v>5</v>
      </c>
      <c r="B15" s="192" t="s">
        <v>220</v>
      </c>
      <c r="C15" s="192"/>
      <c r="D15" s="192"/>
      <c r="E15" s="176">
        <v>5645</v>
      </c>
      <c r="F15" s="176"/>
      <c r="G15" s="176"/>
      <c r="H15" s="2"/>
    </row>
    <row r="16" spans="1:8" x14ac:dyDescent="0.25">
      <c r="A16" s="3">
        <v>6</v>
      </c>
      <c r="B16" s="192" t="s">
        <v>15</v>
      </c>
      <c r="C16" s="192"/>
      <c r="D16" s="192"/>
      <c r="E16" s="176">
        <v>12793</v>
      </c>
      <c r="F16" s="176"/>
      <c r="G16" s="176"/>
      <c r="H16" s="2"/>
    </row>
    <row r="17" spans="2:8" x14ac:dyDescent="0.25">
      <c r="B17" s="2"/>
      <c r="C17" s="2"/>
      <c r="D17" s="2"/>
      <c r="E17" s="2"/>
      <c r="F17" s="2"/>
      <c r="G17" s="2"/>
      <c r="H17" s="2"/>
    </row>
    <row r="18" spans="2:8" ht="15.75" x14ac:dyDescent="0.25">
      <c r="B18" s="2"/>
      <c r="C18" s="101" t="s">
        <v>221</v>
      </c>
      <c r="D18" s="101"/>
      <c r="E18" s="101"/>
      <c r="F18" s="2"/>
      <c r="G18" s="2"/>
      <c r="H18" s="2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10" t="s">
        <v>222</v>
      </c>
      <c r="C20" s="107">
        <v>15</v>
      </c>
      <c r="D20" s="5"/>
      <c r="E20" s="2"/>
      <c r="F20" s="2"/>
      <c r="G20" s="2"/>
      <c r="H20" s="2"/>
    </row>
    <row r="21" spans="2:8" x14ac:dyDescent="0.25">
      <c r="B21" s="10" t="s">
        <v>223</v>
      </c>
      <c r="C21" s="107">
        <v>79</v>
      </c>
      <c r="D21" s="5"/>
      <c r="E21" s="2"/>
      <c r="F21" s="2"/>
      <c r="G21" s="2"/>
      <c r="H21" s="2"/>
    </row>
    <row r="22" spans="2:8" x14ac:dyDescent="0.25">
      <c r="B22" s="10" t="s">
        <v>224</v>
      </c>
      <c r="C22" s="107">
        <v>1644.8</v>
      </c>
      <c r="D22" s="5"/>
      <c r="E22" s="2"/>
      <c r="F22" s="2"/>
      <c r="G22" s="2"/>
      <c r="H22" s="2"/>
    </row>
    <row r="23" spans="2:8" x14ac:dyDescent="0.25">
      <c r="B23" s="10" t="s">
        <v>225</v>
      </c>
      <c r="C23" s="107">
        <v>86</v>
      </c>
      <c r="D23" s="5"/>
      <c r="E23" s="2"/>
      <c r="F23" s="2"/>
      <c r="G23" s="2"/>
      <c r="H23" s="2"/>
    </row>
    <row r="24" spans="2:8" x14ac:dyDescent="0.25">
      <c r="B24" s="10" t="s">
        <v>226</v>
      </c>
      <c r="C24" s="107">
        <v>19.100000000000001</v>
      </c>
      <c r="D24" s="5"/>
      <c r="E24" s="2"/>
      <c r="F24" s="2"/>
      <c r="G24" s="2"/>
      <c r="H24" s="2"/>
    </row>
    <row r="25" spans="2:8" x14ac:dyDescent="0.25">
      <c r="B25" s="2"/>
      <c r="C25" s="2"/>
      <c r="D25" s="2"/>
      <c r="E25" s="2"/>
      <c r="F25" s="2"/>
      <c r="G25" s="2"/>
      <c r="H25" s="2"/>
    </row>
    <row r="26" spans="2:8" ht="18.75" x14ac:dyDescent="0.3">
      <c r="B26" s="236" t="s">
        <v>16</v>
      </c>
      <c r="C26" s="236"/>
      <c r="D26" s="236"/>
      <c r="E26" s="236"/>
      <c r="F26" s="236"/>
      <c r="G26" s="236"/>
      <c r="H26" s="2"/>
    </row>
    <row r="27" spans="2:8" x14ac:dyDescent="0.25">
      <c r="B27" s="228"/>
      <c r="C27" s="229"/>
      <c r="D27" s="232" t="s">
        <v>17</v>
      </c>
      <c r="E27" s="233" t="s">
        <v>18</v>
      </c>
      <c r="F27" s="234"/>
      <c r="G27" s="235"/>
      <c r="H27" s="2"/>
    </row>
    <row r="28" spans="2:8" ht="114.75" x14ac:dyDescent="0.25">
      <c r="B28" s="230"/>
      <c r="C28" s="231"/>
      <c r="D28" s="232"/>
      <c r="E28" s="94" t="s">
        <v>20</v>
      </c>
      <c r="F28" s="94" t="s">
        <v>21</v>
      </c>
      <c r="G28" s="94" t="s">
        <v>19</v>
      </c>
      <c r="H28" s="31"/>
    </row>
    <row r="29" spans="2:8" x14ac:dyDescent="0.25">
      <c r="B29" s="223" t="s">
        <v>22</v>
      </c>
      <c r="C29" s="224"/>
      <c r="D29" s="128">
        <f>'1,13'!D22+'1,14'!D22+'1,17'!D22+'2,01'!D22+'2,02'!D22+'2,03'!D22+'2,04'!D22+'2,05'!D22+'2,06'!D22+'2,07'!D22+'2,08'!D22+'2,09'!D22+'2,10'!D22+'2,11'!D22+'2,17'!D22+'2,20'!D22+'2,21'!D22+'3,01'!D22+'3,03'!D22+'3,05'!D22+'3,06'!D22+'3,09'!D22+'3,11'!D22+'3,12'!D22+'3,14'!D22+'3,15'!D22+'3,19'!D22-8.35</f>
        <v>2872093.7499999995</v>
      </c>
      <c r="E29" s="127">
        <f>'1,13'!E22+'1,14'!E22+'1,17'!E22+'2,01'!E22+'2,02'!E22+'2,03'!E22+'2,04'!E22+'2,05'!E22+'2,06'!E22+'2,07'!E22+'2,08'!E22+'2,09'!E22+'2,10'!E22+'2,11'!E22+'2,17'!E22+'2,20'!E22+'2,21'!E22+'3,01'!E22+'3,03'!E22+'3,05'!E22+'3,06'!E22+'3,09'!E22+'3,11'!E22+'3,12'!E22+'3,14'!E22+'3,15'!E22+'3,19'!E22-8.35</f>
        <v>2872093.7499999995</v>
      </c>
      <c r="F29" s="7"/>
      <c r="G29" s="7"/>
      <c r="H29" s="2"/>
    </row>
    <row r="30" spans="2:8" x14ac:dyDescent="0.25">
      <c r="B30" s="223" t="s">
        <v>23</v>
      </c>
      <c r="C30" s="224"/>
      <c r="D30" s="43">
        <f>E30+F30+G30</f>
        <v>99009917.057000011</v>
      </c>
      <c r="E30" s="43">
        <f>E45+D121+C166</f>
        <v>43858670.770000003</v>
      </c>
      <c r="F30" s="7">
        <f>D131-D121</f>
        <v>7575529.4200000018</v>
      </c>
      <c r="G30" s="7">
        <f>F137+F138+F139+F140+F141+F142</f>
        <v>47575716.867000006</v>
      </c>
      <c r="H30" s="2"/>
    </row>
    <row r="31" spans="2:8" x14ac:dyDescent="0.25">
      <c r="B31" s="223" t="s">
        <v>24</v>
      </c>
      <c r="C31" s="224"/>
      <c r="D31" s="43">
        <f>E31+F31+G31</f>
        <v>88900083.590999991</v>
      </c>
      <c r="E31" s="43">
        <f>F45+E121+D164+D165</f>
        <v>41946672.441</v>
      </c>
      <c r="F31" s="7">
        <f>E122+E123+E125+E126+E129+E124+E127+E128</f>
        <v>7905847.9299999997</v>
      </c>
      <c r="G31" s="7">
        <f>G143</f>
        <v>39047563.219999999</v>
      </c>
      <c r="H31" s="2"/>
    </row>
    <row r="32" spans="2:8" x14ac:dyDescent="0.25">
      <c r="B32" s="223" t="s">
        <v>25</v>
      </c>
      <c r="C32" s="224"/>
      <c r="D32" s="43">
        <f>E32+F32+G32</f>
        <v>88289101.000999987</v>
      </c>
      <c r="E32" s="7">
        <f>'3,19'!E25+'3,15'!E25+'3,14'!E25+'3,12'!E25+'3,11'!E25+'3,09'!E25+'3,06'!E25+'3,05'!E25+'3,03'!E25+'3,01'!E25+'2,21'!E25+'2,20'!E25+'2,17'!E25+'2,11'!E25+'2,10'!E25+'2,09'!E25+'2,08'!E25+'2,07'!E25+'2,06'!E25+'2,05'!E25+'2,04'!E25+'2,03'!E25+'2,02'!E25+'2,01'!E25+'1,17'!E25+'1,14'!E25+'1,13'!E25-676893.59</f>
        <v>41335689.850999996</v>
      </c>
      <c r="F32" s="7">
        <f>F31</f>
        <v>7905847.9299999997</v>
      </c>
      <c r="G32" s="7">
        <f>G31</f>
        <v>39047563.219999999</v>
      </c>
      <c r="H32" s="2"/>
    </row>
    <row r="33" spans="2:8" x14ac:dyDescent="0.25">
      <c r="B33" s="223" t="s">
        <v>253</v>
      </c>
      <c r="C33" s="224"/>
      <c r="D33" s="43">
        <f>E33+F33+G33</f>
        <v>22810362.390000001</v>
      </c>
      <c r="E33" s="43">
        <f>G45+G121+F166</f>
        <v>5436867.29</v>
      </c>
      <c r="F33" s="45">
        <f>G131-G121</f>
        <v>1999548.0600000008</v>
      </c>
      <c r="G33" s="45">
        <f>H143</f>
        <v>15373947.040000001</v>
      </c>
      <c r="H33" s="2"/>
    </row>
    <row r="34" spans="2:8" x14ac:dyDescent="0.25">
      <c r="B34" s="5"/>
      <c r="C34" s="5"/>
      <c r="D34" s="5"/>
      <c r="E34" s="6"/>
      <c r="F34" s="6"/>
      <c r="G34" s="2"/>
      <c r="H34" s="2"/>
    </row>
    <row r="35" spans="2:8" x14ac:dyDescent="0.25">
      <c r="B35" s="197" t="s">
        <v>27</v>
      </c>
      <c r="C35" s="197"/>
      <c r="D35" s="197"/>
      <c r="E35" s="197"/>
      <c r="F35" s="197"/>
      <c r="G35" s="197"/>
      <c r="H35" s="2"/>
    </row>
    <row r="36" spans="2:8" x14ac:dyDescent="0.25">
      <c r="B36" s="197" t="s">
        <v>179</v>
      </c>
      <c r="C36" s="197"/>
      <c r="D36" s="197"/>
      <c r="E36" s="197"/>
      <c r="F36" s="197"/>
      <c r="G36" s="197"/>
      <c r="H36" s="2"/>
    </row>
    <row r="37" spans="2:8" ht="42" customHeight="1" x14ac:dyDescent="0.25">
      <c r="B37" s="225" t="s">
        <v>29</v>
      </c>
      <c r="C37" s="226"/>
      <c r="D37" s="227"/>
      <c r="E37" s="91" t="s">
        <v>30</v>
      </c>
      <c r="F37" s="95" t="s">
        <v>31</v>
      </c>
      <c r="G37" s="89" t="s">
        <v>32</v>
      </c>
      <c r="H37" s="9"/>
    </row>
    <row r="38" spans="2:8" x14ac:dyDescent="0.25">
      <c r="B38" s="174" t="s">
        <v>33</v>
      </c>
      <c r="C38" s="212"/>
      <c r="D38" s="175"/>
      <c r="E38" s="88">
        <f>'3,19'!E31+'3,15'!E31+'3,14'!E31+'3,12'!E31+'3,11'!E31+'3,09'!E31+'3,05'!E31+'3,03'!E31+'3,01'!E31+'2,21'!E31+'2,20'!E31+'2,17'!E31+'2,11'!E31+'2,10'!E31+'2,09'!E31+'2,08'!E31+'2,07'!E31+'2,06'!E31+'2,05'!E31+'2,04'!E31+'2,03'!E31+'2,02'!E31+'2,01'!E31+'1,17'!E31+'1,14'!E31+'1,13'!E31+'3,06'!E31</f>
        <v>4549422.4400000004</v>
      </c>
      <c r="F38" s="98">
        <f>'3,19'!F31+'3,15'!F31+'3,14'!F31+'3,12'!F31+'3,11'!F31+'3,09'!F31+'3,05'!F31+'3,03'!F31+'3,01'!F31+'2,21'!F31+'2,20'!F31+'2,17'!F31+'2,11'!F31+'2,10'!F31+'2,09'!F31+'2,08'!F31+'2,07'!F31+'2,06'!F31+'2,05'!F31+'2,04'!F31+'2,03'!F31+'2,02'!F31+'2,01'!F31+'1,17'!F31+'1,14'!F31+'1,13'!F31+'3,06'!F31</f>
        <v>4448902.0599999987</v>
      </c>
      <c r="G38" s="98">
        <f>'3,19'!G31+'3,15'!G31+'3,14'!G31+'3,12'!G31+'3,11'!G31+'3,09'!G31+'3,05'!G31+'3,03'!G31+'3,01'!G31+'2,21'!G31+'2,20'!G31+'2,17'!G31+'2,11'!G31+'2,10'!G31+'2,09'!G31+'2,08'!G31+'2,07'!G31+'2,06'!G31+'2,05'!G31+'2,04'!G31+'2,03'!G31+'2,02'!G31+'2,01'!G31+'1,17'!G31+'1,14'!G31+'1,13'!G31+'3,06'!G31</f>
        <v>393322.4</v>
      </c>
      <c r="H38" s="5"/>
    </row>
    <row r="39" spans="2:8" x14ac:dyDescent="0.25">
      <c r="B39" s="174" t="s">
        <v>34</v>
      </c>
      <c r="C39" s="212"/>
      <c r="D39" s="175"/>
      <c r="E39" s="98">
        <f>'3,19'!E32+'3,15'!E32+'3,14'!E32+'3,12'!E32+'3,11'!E32+'3,09'!E32+'3,05'!E32+'3,03'!E32+'3,01'!E32+'2,21'!E32+'2,20'!E32+'2,17'!E32+'2,11'!E32+'2,10'!E32+'2,09'!E32+'2,08'!E32+'2,07'!E32+'2,06'!E32+'2,05'!E32+'2,04'!E32+'2,03'!E32+'2,02'!E32+'2,01'!E32+'1,17'!E32+'1,14'!E32+'1,13'!E32+'3,06'!E32</f>
        <v>5973904.1599999992</v>
      </c>
      <c r="F39" s="98">
        <f>'3,19'!F32+'3,15'!F32+'3,14'!F32+'3,12'!F32+'3,11'!F32+'3,09'!F32+'3,05'!F32+'3,03'!F32+'3,01'!F32+'2,21'!F32+'2,20'!F32+'2,17'!F32+'2,11'!F32+'2,10'!F32+'2,09'!F32+'2,08'!F32+'2,07'!F32+'2,06'!F32+'2,05'!F32+'2,04'!F32+'2,03'!F32+'2,02'!F32+'2,01'!F32+'1,17'!F32+'1,14'!F32+'1,13'!F32+'3,06'!F32</f>
        <v>5870393.9000000013</v>
      </c>
      <c r="G39" s="98">
        <f>'3,19'!G32+'3,15'!G32+'3,14'!G32+'3,12'!G32+'3,11'!G32+'3,09'!G32+'3,05'!G32+'3,03'!G32+'3,01'!G32+'2,21'!G32+'2,20'!G32+'2,17'!G32+'2,11'!G32+'2,10'!G32+'2,09'!G32+'2,08'!G32+'2,07'!G32+'2,06'!G32+'2,05'!G32+'2,04'!G32+'2,03'!G32+'2,02'!G32+'2,01'!G32+'1,17'!G32+'1,14'!G32+'1,13'!G32+'3,06'!G32</f>
        <v>521262.8</v>
      </c>
      <c r="H39" s="5"/>
    </row>
    <row r="40" spans="2:8" x14ac:dyDescent="0.25">
      <c r="B40" s="174" t="s">
        <v>35</v>
      </c>
      <c r="C40" s="212"/>
      <c r="D40" s="175"/>
      <c r="E40" s="98">
        <f>'3,19'!E33+'3,15'!E33+'3,14'!E33+'3,12'!E33+'3,11'!E33+'3,09'!E33+'3,05'!E33+'3,03'!E33+'3,01'!E33+'2,21'!E33+'2,20'!E33+'2,17'!E33+'2,11'!E33+'2,10'!E33+'2,09'!E33+'2,08'!E33+'2,07'!E33+'2,06'!E33+'2,05'!E33+'2,04'!E33+'2,03'!E33+'2,02'!E33+'2,01'!E33+'1,17'!E33+'1,14'!E33+'1,13'!E33+'3,06'!E33</f>
        <v>3633243.7300000009</v>
      </c>
      <c r="F40" s="98">
        <f>'3,19'!F33+'3,15'!F33+'3,14'!F33+'3,12'!F33+'3,11'!F33+'3,09'!F33+'3,05'!F33+'3,03'!F33+'3,01'!F33+'2,21'!F33+'2,20'!F33+'2,17'!F33+'2,11'!F33+'2,10'!F33+'2,09'!F33+'2,08'!F33+'2,07'!F33+'2,06'!F33+'2,05'!F33+'2,04'!F33+'2,03'!F33+'2,02'!F33+'2,01'!F33+'1,17'!F33+'1,14'!F33+'1,13'!F33+'3,06'!F33</f>
        <v>3560011.16</v>
      </c>
      <c r="G40" s="98">
        <f>'3,19'!G33+'3,15'!G33+'3,14'!G33+'3,12'!G33+'3,11'!G33+'3,09'!G33+'3,05'!G33+'3,03'!G33+'3,01'!G33+'2,21'!G33+'2,20'!G33+'2,17'!G33+'2,11'!G33+'2,10'!G33+'2,09'!G33+'2,08'!G33+'2,07'!G33+'2,06'!G33+'2,05'!G33+'2,04'!G33+'2,03'!G33+'2,02'!G33+'2,01'!G33+'1,17'!G33+'1,14'!G33+'1,13'!G33+'3,06'!G33</f>
        <v>324090.02999999997</v>
      </c>
      <c r="H40" s="5"/>
    </row>
    <row r="41" spans="2:8" hidden="1" x14ac:dyDescent="0.25">
      <c r="B41" s="174" t="s">
        <v>36</v>
      </c>
      <c r="C41" s="175"/>
      <c r="D41" s="93"/>
      <c r="E41" s="98">
        <f>'3,19'!E34+'3,15'!E34+'3,14'!E34+'3,12'!E34+'3,11'!E34+'3,09'!E34+'3,05'!E34+'3,03'!E34+'3,01'!E34+'2,21'!E34+'2,20'!E34+'2,17'!E34+'2,11'!E34+'2,10'!E34+'2,09'!E34+'2,08'!E34+'2,07'!E34+'2,06'!E34+'2,05'!E34+'2,04'!E34+'2,03'!E34+'2,02'!E34+'2,01'!E34+'1,17'!E34+'1,14'!E34+'1,13'!E34+'3,06'!E34</f>
        <v>0</v>
      </c>
      <c r="F41" s="98">
        <f>'3,19'!F34+'3,15'!F34+'3,14'!F34+'3,12'!F34+'3,11'!F34+'3,09'!F34+'3,05'!F34+'3,03'!F34+'3,01'!F34+'2,21'!F34+'2,20'!F34+'2,17'!F34+'2,11'!F34+'2,10'!F34+'2,09'!F34+'2,08'!F34+'2,07'!F34+'2,06'!F34+'2,05'!F34+'2,04'!F34+'2,03'!F34+'2,02'!F34+'2,01'!F34+'1,17'!F34+'1,14'!F34+'1,13'!F34+'3,06'!F34</f>
        <v>0</v>
      </c>
      <c r="G41" s="98">
        <f>'3,19'!G34+'3,15'!G34+'3,14'!G34+'3,12'!G34+'3,11'!G34+'3,09'!G34+'3,05'!G34+'3,03'!G34+'3,01'!G34+'2,21'!G34+'2,20'!G34+'2,17'!G34+'2,11'!G34+'2,10'!G34+'2,09'!G34+'2,08'!G34+'2,07'!G34+'2,06'!G34+'2,05'!G34+'2,04'!G34+'2,03'!G34+'2,02'!G34+'2,01'!G34+'1,17'!G34+'1,14'!G34+'1,13'!G34+'3,06'!G34</f>
        <v>0</v>
      </c>
      <c r="H41" s="5"/>
    </row>
    <row r="42" spans="2:8" x14ac:dyDescent="0.25">
      <c r="B42" s="174" t="s">
        <v>37</v>
      </c>
      <c r="C42" s="212"/>
      <c r="D42" s="175"/>
      <c r="E42" s="98">
        <f>'3,19'!E35+'3,15'!E35+'3,14'!E35+'3,12'!E35+'3,11'!E35+'3,09'!E35+'3,05'!E35+'3,03'!E35+'3,01'!E35+'2,21'!E35+'2,20'!E35+'2,17'!E35+'2,11'!E35+'2,10'!E35+'2,09'!E35+'2,08'!E35+'2,07'!E35+'2,06'!E35+'2,05'!E35+'2,04'!E35+'2,03'!E35+'2,02'!E35+'2,01'!E35+'1,17'!E35+'1,14'!E35+'1,13'!E35+'3,06'!E35</f>
        <v>8872987.620000001</v>
      </c>
      <c r="F42" s="98">
        <f>'3,19'!F35+'3,15'!F35+'3,14'!F35+'3,12'!F35+'3,11'!F35+'3,09'!F35+'3,05'!F35+'3,03'!F35+'3,01'!F35+'2,21'!F35+'2,20'!F35+'2,17'!F35+'2,11'!F35+'2,10'!F35+'2,09'!F35+'2,08'!F35+'2,07'!F35+'2,06'!F35+'2,05'!F35+'2,04'!F35+'2,03'!F35+'2,02'!F35+'2,01'!F35+'1,17'!F35+'1,14'!F35+'1,13'!F35+'3,06'!F35</f>
        <v>8588139.2699999996</v>
      </c>
      <c r="G42" s="98">
        <f>'3,19'!G35+'3,15'!G35+'3,14'!G35+'3,12'!G35+'3,11'!G35+'3,09'!G35+'3,05'!G35+'3,03'!G35+'3,01'!G35+'2,21'!G35+'2,20'!G35+'2,17'!G35+'2,11'!G35+'2,10'!G35+'2,09'!G35+'2,08'!G35+'2,07'!G35+'2,06'!G35+'2,05'!G35+'2,04'!G35+'2,03'!G35+'2,02'!G35+'2,01'!G35+'1,17'!G35+'1,14'!G35+'1,13'!G35+'3,06'!G35</f>
        <v>869475.07</v>
      </c>
      <c r="H42" s="5"/>
    </row>
    <row r="43" spans="2:8" x14ac:dyDescent="0.25">
      <c r="B43" s="174" t="s">
        <v>38</v>
      </c>
      <c r="C43" s="212"/>
      <c r="D43" s="175"/>
      <c r="E43" s="98">
        <f>'3,19'!E36+'3,15'!E36+'3,14'!E36+'3,12'!E36+'3,11'!E36+'3,09'!E36+'3,05'!E36+'3,03'!E36+'3,01'!E36+'2,21'!E36+'2,20'!E36+'2,17'!E36+'2,11'!E36+'2,10'!E36+'2,09'!E36+'2,08'!E36+'2,07'!E36+'2,06'!E36+'2,05'!E36+'2,04'!E36+'2,03'!E36+'2,02'!E36+'2,01'!E36+'1,17'!E36+'1,14'!E36+'1,13'!E36+'3,06'!E36</f>
        <v>6240915.4699999979</v>
      </c>
      <c r="F43" s="98">
        <f>'3,19'!F36+'3,15'!F36+'3,14'!F36+'3,12'!F36+'3,11'!F36+'3,09'!F36+'3,05'!F36+'3,03'!F36+'3,01'!F36+'2,21'!F36+'2,20'!F36+'2,17'!F36+'2,11'!F36+'2,10'!F36+'2,09'!F36+'2,08'!F36+'2,07'!F36+'2,06'!F36+'2,05'!F36+'2,04'!F36+'2,03'!F36+'2,02'!F36+'2,01'!F36+'1,17'!F36+'1,14'!F36+'1,13'!F36+'3,06'!F36</f>
        <v>6070770.1799999997</v>
      </c>
      <c r="G43" s="98">
        <f>'3,19'!G36+'3,15'!G36+'3,14'!G36+'3,12'!G36+'3,11'!G36+'3,09'!G36+'3,05'!G36+'3,03'!G36+'3,01'!G36+'2,21'!G36+'2,20'!G36+'2,17'!G36+'2,11'!G36+'2,10'!G36+'2,09'!G36+'2,08'!G36+'2,07'!G36+'2,06'!G36+'2,05'!G36+'2,04'!G36+'2,03'!G36+'2,02'!G36+'2,01'!G36+'1,17'!G36+'1,14'!G36+'1,13'!G36+'3,06'!G36</f>
        <v>631540.85</v>
      </c>
      <c r="H43" s="5"/>
    </row>
    <row r="44" spans="2:8" ht="30" customHeight="1" x14ac:dyDescent="0.25">
      <c r="B44" s="174" t="s">
        <v>39</v>
      </c>
      <c r="C44" s="212"/>
      <c r="D44" s="175"/>
      <c r="E44" s="98">
        <f>'3,19'!E37+'3,15'!E37+'3,14'!E37+'3,12'!E37+'3,11'!E37+'3,09'!E37+'3,05'!E37+'3,03'!E37+'3,01'!E37+'2,21'!E37+'2,20'!E37+'2,17'!E37+'2,11'!E37+'2,10'!E37+'2,09'!E37+'2,08'!E37+'2,07'!E37+'2,06'!E37+'2,05'!E37+'2,04'!E37+'2,03'!E37+'2,02'!E37+'2,01'!E37+'1,17'!E37+'1,14'!E37+'1,13'!E37+'3,06'!E37</f>
        <v>6479254.29</v>
      </c>
      <c r="F44" s="98">
        <f>'3,19'!F37+'3,15'!F37+'3,14'!F37+'3,12'!F37+'3,11'!F37+'3,09'!F37+'3,05'!F37+'3,03'!F37+'3,01'!F37+'2,21'!F37+'2,20'!F37+'2,17'!F37+'2,11'!F37+'2,10'!F37+'2,09'!F37+'2,08'!F37+'2,07'!F37+'2,06'!F37+'2,05'!F37+'2,04'!F37+'2,03'!F37+'2,02'!F37+'2,01'!F37+'1,17'!F37+'1,14'!F37+'1,13'!F37+'3,06'!F37</f>
        <v>6293426.8599999985</v>
      </c>
      <c r="G44" s="98">
        <f>'3,19'!G37+'3,15'!G37+'3,14'!G37+'3,12'!G37+'3,11'!G37+'3,09'!G37+'3,05'!G37+'3,03'!G37+'3,01'!G37+'2,21'!G37+'2,20'!G37+'2,17'!G37+'2,11'!G37+'2,10'!G37+'2,09'!G37+'2,08'!G37+'2,07'!G37+'2,06'!G37+'2,05'!G37+'2,04'!G37+'2,03'!G37+'2,02'!G37+'2,01'!G37+'1,17'!G37+'1,14'!G37+'1,13'!G37+'3,06'!G37</f>
        <v>563921.43999999994</v>
      </c>
      <c r="H44" s="5"/>
    </row>
    <row r="45" spans="2:8" ht="23.25" customHeight="1" x14ac:dyDescent="0.25">
      <c r="B45" s="202" t="s">
        <v>40</v>
      </c>
      <c r="C45" s="213"/>
      <c r="D45" s="203"/>
      <c r="E45" s="41">
        <f>SUM(E38:E44)</f>
        <v>35749727.710000001</v>
      </c>
      <c r="F45" s="41">
        <f t="shared" ref="F45:G45" si="0">SUM(F38:F44)</f>
        <v>34831643.43</v>
      </c>
      <c r="G45" s="41">
        <f t="shared" si="0"/>
        <v>3303612.59</v>
      </c>
      <c r="H45" s="9"/>
    </row>
    <row r="46" spans="2:8" x14ac:dyDescent="0.25">
      <c r="B46" s="12"/>
      <c r="C46" s="12"/>
      <c r="D46" s="9"/>
      <c r="E46" s="9"/>
      <c r="F46" s="2"/>
      <c r="G46" s="2"/>
      <c r="H46" s="2"/>
    </row>
    <row r="47" spans="2:8" x14ac:dyDescent="0.25">
      <c r="B47" s="195" t="s">
        <v>41</v>
      </c>
      <c r="C47" s="195"/>
      <c r="D47" s="195"/>
      <c r="E47" s="195"/>
      <c r="F47" s="195"/>
      <c r="G47" s="195"/>
      <c r="H47" s="195"/>
    </row>
    <row r="48" spans="2:8" x14ac:dyDescent="0.25">
      <c r="B48" s="214" t="s">
        <v>42</v>
      </c>
      <c r="C48" s="215"/>
      <c r="D48" s="220" t="s">
        <v>43</v>
      </c>
      <c r="E48" s="220" t="s">
        <v>44</v>
      </c>
      <c r="F48" s="220" t="s">
        <v>45</v>
      </c>
      <c r="G48" s="220" t="s">
        <v>46</v>
      </c>
      <c r="H48" s="220" t="s">
        <v>47</v>
      </c>
    </row>
    <row r="49" spans="2:8" x14ac:dyDescent="0.25">
      <c r="B49" s="216"/>
      <c r="C49" s="217"/>
      <c r="D49" s="221"/>
      <c r="E49" s="221"/>
      <c r="F49" s="221"/>
      <c r="G49" s="221"/>
      <c r="H49" s="221"/>
    </row>
    <row r="50" spans="2:8" x14ac:dyDescent="0.25">
      <c r="B50" s="218"/>
      <c r="C50" s="219"/>
      <c r="D50" s="222"/>
      <c r="E50" s="222"/>
      <c r="F50" s="222"/>
      <c r="G50" s="222"/>
      <c r="H50" s="222"/>
    </row>
    <row r="51" spans="2:8" x14ac:dyDescent="0.25">
      <c r="B51" s="177" t="s">
        <v>48</v>
      </c>
      <c r="C51" s="179"/>
      <c r="D51" s="13"/>
      <c r="E51" s="10"/>
      <c r="F51" s="123">
        <f>F52+F53+F54</f>
        <v>14068801.719999999</v>
      </c>
      <c r="G51" s="123"/>
      <c r="H51" s="123">
        <f>H52+H53+H54</f>
        <v>14069846.93</v>
      </c>
    </row>
    <row r="52" spans="2:8" x14ac:dyDescent="0.25">
      <c r="B52" s="174" t="s">
        <v>33</v>
      </c>
      <c r="C52" s="175"/>
      <c r="D52" s="24">
        <v>2014</v>
      </c>
      <c r="E52" s="10"/>
      <c r="F52" s="105">
        <f>'1,13'!F45+'1,14'!F45+'1,17'!F45+'2,01'!F45+'2,02'!F45+'2,03'!F45+'2,04'!F45+'2,05'!F45+'2,06'!F45+'2,07'!F45+'2,08'!F45+'2,09'!F45+'2,10'!F45+'2,11'!F45+'2,17'!F45+'2,20'!F45+'2,21'!F45+'3,01'!F45+'3,03'!F45+'3,05'!F45+'3,06'!F45+'3,09'!F45+'3,11'!F45+'3,12'!F45+'3,14'!F45+'3,15'!F45+'3,19'!F45</f>
        <v>4523589.54</v>
      </c>
      <c r="G52" s="105"/>
      <c r="H52" s="105">
        <f>'1,13'!H45+'1,14'!H45+'1,17'!H45+'2,01'!H45+'2,02'!H45+'2,03'!H45+'2,04'!H45+'2,05'!H45+'2,06'!H45+'2,07'!H45+'2,08'!H45+'2,09'!H45+'2,10'!H45+'2,11'!H45+'2,17'!H45+'2,20'!H45+'2,21'!H45+'3,01'!H45+'3,03'!H45+'3,05'!H45+'3,06'!H45+'3,09'!H45+'3,11'!H45+'3,12'!H45+'3,14'!H45+'3,15'!H45+'3,19'!H45</f>
        <v>4894372.3600000013</v>
      </c>
    </row>
    <row r="53" spans="2:8" x14ac:dyDescent="0.25">
      <c r="B53" s="210" t="s">
        <v>49</v>
      </c>
      <c r="C53" s="211"/>
      <c r="D53" s="24">
        <v>2014</v>
      </c>
      <c r="E53" s="10"/>
      <c r="F53" s="105">
        <f>'1,13'!F46+'1,14'!F46+'1,17'!F46+'2,01'!F46+'2,02'!F46+'2,03'!F46+'2,04'!F46+'2,05'!F46+'2,06'!F46+'2,07'!F46+'2,08'!F46+'2,09'!F46+'2,10'!F46+'2,11'!F46+'2,17'!F46+'2,20'!F46+'2,21'!F46+'3,01'!F46+'3,03'!F46+'3,05'!F46+'3,06'!F46+'3,09'!F46+'3,11'!F46+'3,12'!F46+'3,14'!F46+'3,15'!F46+'3,19'!F46</f>
        <v>5937376.3299999982</v>
      </c>
      <c r="G53" s="112"/>
      <c r="H53" s="105">
        <f>'1,13'!H46+'1,14'!H46+'1,17'!H46+'2,01'!H46+'2,02'!H46+'2,03'!H46+'2,04'!H46+'2,05'!H46+'2,06'!H46+'2,07'!H46+'2,08'!H46+'2,09'!H46+'2,10'!H46+'2,11'!H46+'2,17'!H46+'2,20'!H46+'2,21'!H46+'3,01'!H46+'3,03'!H46+'3,05'!H46+'3,06'!H46+'3,09'!H46+'3,11'!H46+'3,12'!H46+'3,14'!H46+'3,15'!H46+'3,19'!H46</f>
        <v>5590248.5499999989</v>
      </c>
    </row>
    <row r="54" spans="2:8" x14ac:dyDescent="0.25">
      <c r="B54" s="174" t="s">
        <v>35</v>
      </c>
      <c r="C54" s="175"/>
      <c r="D54" s="24">
        <v>2014</v>
      </c>
      <c r="E54" s="10"/>
      <c r="F54" s="105">
        <f>'1,13'!F47+'1,14'!F47+'1,17'!F47+'2,01'!F47+'2,02'!F47+'2,03'!F47+'2,04'!F47+'2,05'!F47+'2,06'!F47+'2,07'!F47+'2,08'!F47+'2,09'!F47+'2,10'!F47+'2,11'!F47+'2,17'!F47+'2,20'!F47+'2,21'!F47+'3,01'!F47+'3,03'!F47+'3,05'!F47+'3,06'!F47+'3,09'!F47+'3,11'!F47+'3,12'!F47+'3,14'!F47+'3,15'!F47+'3,19'!F47</f>
        <v>3607835.8500000006</v>
      </c>
      <c r="G54" s="112"/>
      <c r="H54" s="105">
        <f>'1,13'!H47+'1,14'!H47+'1,17'!H47+'2,01'!H47+'2,02'!H47+'2,03'!H47+'2,04'!H47+'2,05'!H47+'2,06'!H47+'2,07'!H47+'2,08'!H47+'2,09'!H47+'2,10'!H47+'2,11'!H47+'2,17'!H47+'2,20'!H47+'2,21'!H47+'3,01'!H47+'3,03'!H47+'3,05'!H47+'3,06'!H47+'3,09'!H47+'3,11'!H47+'3,12'!H47+'3,14'!H47+'3,15'!H47+'3,19'!H47</f>
        <v>3585226.02</v>
      </c>
    </row>
    <row r="55" spans="2:8" hidden="1" x14ac:dyDescent="0.25">
      <c r="B55" s="174" t="s">
        <v>36</v>
      </c>
      <c r="C55" s="175"/>
      <c r="D55" s="88"/>
      <c r="E55" s="10"/>
      <c r="F55" s="105"/>
      <c r="G55" s="112"/>
      <c r="H55" s="105"/>
    </row>
    <row r="56" spans="2:8" x14ac:dyDescent="0.25">
      <c r="B56" s="202" t="s">
        <v>65</v>
      </c>
      <c r="C56" s="203"/>
      <c r="D56" s="88"/>
      <c r="E56" s="10"/>
      <c r="F56" s="113"/>
      <c r="G56" s="112"/>
      <c r="H56" s="113"/>
    </row>
    <row r="57" spans="2:8" ht="30.75" customHeight="1" x14ac:dyDescent="0.25">
      <c r="B57" s="174" t="s">
        <v>66</v>
      </c>
      <c r="C57" s="175"/>
      <c r="D57" s="171" t="s">
        <v>266</v>
      </c>
      <c r="E57" s="171" t="s">
        <v>543</v>
      </c>
      <c r="F57" s="10"/>
      <c r="G57" s="171" t="s">
        <v>544</v>
      </c>
      <c r="H57" s="10"/>
    </row>
    <row r="58" spans="2:8" ht="64.5" customHeight="1" x14ac:dyDescent="0.25">
      <c r="B58" s="208" t="s">
        <v>67</v>
      </c>
      <c r="C58" s="209"/>
      <c r="D58" s="150" t="s">
        <v>266</v>
      </c>
      <c r="E58" s="150" t="s">
        <v>545</v>
      </c>
      <c r="F58" s="151">
        <f>625732.25+11180+30495+7380</f>
        <v>674787.25</v>
      </c>
      <c r="G58" s="150" t="s">
        <v>546</v>
      </c>
      <c r="H58" s="151">
        <f>655020.4+11180+30495+7380</f>
        <v>704075.4</v>
      </c>
    </row>
    <row r="59" spans="2:8" x14ac:dyDescent="0.25">
      <c r="B59" s="208" t="s">
        <v>269</v>
      </c>
      <c r="C59" s="209"/>
      <c r="D59" s="108" t="s">
        <v>270</v>
      </c>
      <c r="E59" s="108" t="s">
        <v>543</v>
      </c>
      <c r="F59" s="152">
        <v>136320</v>
      </c>
      <c r="G59" s="108" t="s">
        <v>544</v>
      </c>
      <c r="H59" s="152">
        <v>182254.94</v>
      </c>
    </row>
    <row r="60" spans="2:8" x14ac:dyDescent="0.25">
      <c r="B60" s="208" t="s">
        <v>68</v>
      </c>
      <c r="C60" s="209"/>
      <c r="D60" s="108" t="s">
        <v>272</v>
      </c>
      <c r="E60" s="108" t="s">
        <v>543</v>
      </c>
      <c r="F60" s="152">
        <f>62788+241807.35</f>
        <v>304595.34999999998</v>
      </c>
      <c r="G60" s="108" t="s">
        <v>544</v>
      </c>
      <c r="H60" s="152">
        <f>62800+243301.14</f>
        <v>306101.14</v>
      </c>
    </row>
    <row r="61" spans="2:8" ht="36.75" customHeight="1" x14ac:dyDescent="0.25">
      <c r="B61" s="208" t="s">
        <v>547</v>
      </c>
      <c r="C61" s="209"/>
      <c r="D61" s="150" t="s">
        <v>272</v>
      </c>
      <c r="E61" s="150" t="s">
        <v>548</v>
      </c>
      <c r="F61" s="151">
        <f>26200.17+9643.83</f>
        <v>35844</v>
      </c>
      <c r="G61" s="150" t="s">
        <v>548</v>
      </c>
      <c r="H61" s="151">
        <f>26200.17+9643.83</f>
        <v>35844</v>
      </c>
    </row>
    <row r="62" spans="2:8" ht="16.5" customHeight="1" x14ac:dyDescent="0.25">
      <c r="B62" s="208" t="s">
        <v>273</v>
      </c>
      <c r="C62" s="209"/>
      <c r="D62" s="153"/>
      <c r="E62" s="108"/>
      <c r="F62" s="154"/>
      <c r="G62" s="108"/>
      <c r="H62" s="154"/>
    </row>
    <row r="63" spans="2:8" ht="55.5" customHeight="1" x14ac:dyDescent="0.25">
      <c r="B63" s="239" t="s">
        <v>549</v>
      </c>
      <c r="C63" s="240"/>
      <c r="D63" s="108" t="s">
        <v>272</v>
      </c>
      <c r="E63" s="155" t="s">
        <v>352</v>
      </c>
      <c r="F63" s="156">
        <f>138571.69+330981.6+276561.83+83424.41+150106.13+15583.51+145791+153920.19+140037+78471.56+78740.24+60474.59+75375.35+73103.86+31003.68+39984.49+42251.37+46891.36</f>
        <v>1961273.8600000003</v>
      </c>
      <c r="G63" s="155" t="s">
        <v>352</v>
      </c>
      <c r="H63" s="156">
        <f>138571.69+330981.6+276561.83+83424.41+150106.13+15583.51+145791+153920.19+140037+78471.56+78740.24+60474.59+75375.35+73103.86+31003.68+39984.49+42251.37+46891.36</f>
        <v>1961273.8600000003</v>
      </c>
    </row>
    <row r="64" spans="2:8" ht="54.75" customHeight="1" x14ac:dyDescent="0.25">
      <c r="B64" s="239" t="s">
        <v>550</v>
      </c>
      <c r="C64" s="240"/>
      <c r="D64" s="108" t="s">
        <v>272</v>
      </c>
      <c r="E64" s="108" t="s">
        <v>551</v>
      </c>
      <c r="F64" s="156">
        <v>190112.36</v>
      </c>
      <c r="G64" s="155" t="s">
        <v>552</v>
      </c>
      <c r="H64" s="156">
        <f>29000+2132.26+58000+87000+17332.5</f>
        <v>193464.76</v>
      </c>
    </row>
    <row r="65" spans="2:8" ht="19.5" customHeight="1" x14ac:dyDescent="0.25">
      <c r="B65" s="239" t="s">
        <v>553</v>
      </c>
      <c r="C65" s="240"/>
      <c r="D65" s="108" t="s">
        <v>272</v>
      </c>
      <c r="E65" s="108"/>
      <c r="F65" s="157"/>
      <c r="G65" s="155" t="s">
        <v>554</v>
      </c>
      <c r="H65" s="156">
        <f>12000+7200+33488</f>
        <v>52688</v>
      </c>
    </row>
    <row r="66" spans="2:8" ht="42" customHeight="1" x14ac:dyDescent="0.25">
      <c r="B66" s="239" t="s">
        <v>555</v>
      </c>
      <c r="C66" s="240"/>
      <c r="D66" s="108" t="s">
        <v>272</v>
      </c>
      <c r="E66" s="159" t="s">
        <v>556</v>
      </c>
      <c r="F66" s="158">
        <f>48480+792.64</f>
        <v>49272.639999999999</v>
      </c>
      <c r="G66" s="159" t="s">
        <v>556</v>
      </c>
      <c r="H66" s="158">
        <f>48480+792.64</f>
        <v>49272.639999999999</v>
      </c>
    </row>
    <row r="67" spans="2:8" ht="66" customHeight="1" x14ac:dyDescent="0.25">
      <c r="B67" s="241" t="s">
        <v>557</v>
      </c>
      <c r="C67" s="242"/>
      <c r="D67" s="108" t="s">
        <v>272</v>
      </c>
      <c r="E67" s="150"/>
      <c r="F67" s="160"/>
      <c r="G67" s="159" t="s">
        <v>558</v>
      </c>
      <c r="H67" s="158">
        <f>6003+20982.08+25942.34+11700</f>
        <v>64627.42</v>
      </c>
    </row>
    <row r="68" spans="2:8" ht="16.5" customHeight="1" x14ac:dyDescent="0.25">
      <c r="B68" s="208" t="s">
        <v>69</v>
      </c>
      <c r="C68" s="209"/>
      <c r="D68" s="108" t="s">
        <v>272</v>
      </c>
      <c r="E68" s="161" t="s">
        <v>559</v>
      </c>
      <c r="F68" s="152">
        <v>1028847.5</v>
      </c>
      <c r="G68" s="161" t="s">
        <v>559</v>
      </c>
      <c r="H68" s="152">
        <v>1028847.5</v>
      </c>
    </row>
    <row r="69" spans="2:8" ht="16.5" customHeight="1" x14ac:dyDescent="0.25">
      <c r="B69" s="208" t="s">
        <v>560</v>
      </c>
      <c r="C69" s="209"/>
      <c r="D69" s="108" t="s">
        <v>272</v>
      </c>
      <c r="E69" s="108"/>
      <c r="F69" s="154"/>
      <c r="G69" s="108"/>
      <c r="H69" s="152">
        <v>22641.52</v>
      </c>
    </row>
    <row r="70" spans="2:8" ht="16.5" customHeight="1" x14ac:dyDescent="0.25">
      <c r="B70" s="208" t="s">
        <v>281</v>
      </c>
      <c r="C70" s="209"/>
      <c r="D70" s="150"/>
      <c r="E70" s="150"/>
      <c r="F70" s="151"/>
      <c r="G70" s="150"/>
      <c r="H70" s="151"/>
    </row>
    <row r="71" spans="2:8" ht="16.5" customHeight="1" x14ac:dyDescent="0.25">
      <c r="B71" s="208" t="s">
        <v>282</v>
      </c>
      <c r="C71" s="209"/>
      <c r="D71" s="153"/>
      <c r="E71" s="108"/>
      <c r="F71" s="154"/>
      <c r="G71" s="108"/>
      <c r="H71" s="154"/>
    </row>
    <row r="72" spans="2:8" ht="16.5" customHeight="1" x14ac:dyDescent="0.25">
      <c r="B72" s="208" t="s">
        <v>561</v>
      </c>
      <c r="C72" s="209"/>
      <c r="D72" s="150" t="s">
        <v>272</v>
      </c>
      <c r="E72" s="150" t="s">
        <v>374</v>
      </c>
      <c r="F72" s="151">
        <v>420000</v>
      </c>
      <c r="G72" s="108" t="s">
        <v>375</v>
      </c>
      <c r="H72" s="151">
        <f>200819.61</f>
        <v>200819.61</v>
      </c>
    </row>
    <row r="73" spans="2:8" x14ac:dyDescent="0.25">
      <c r="B73" s="208" t="s">
        <v>562</v>
      </c>
      <c r="C73" s="209"/>
      <c r="D73" s="150" t="s">
        <v>272</v>
      </c>
      <c r="E73" s="108" t="s">
        <v>489</v>
      </c>
      <c r="F73" s="152">
        <v>60000</v>
      </c>
      <c r="G73" s="108" t="s">
        <v>489</v>
      </c>
      <c r="H73" s="151">
        <f>59700.59</f>
        <v>59700.59</v>
      </c>
    </row>
    <row r="74" spans="2:8" ht="56.25" customHeight="1" x14ac:dyDescent="0.25">
      <c r="B74" s="208" t="s">
        <v>563</v>
      </c>
      <c r="C74" s="209"/>
      <c r="D74" s="150" t="s">
        <v>272</v>
      </c>
      <c r="E74" s="108"/>
      <c r="F74" s="154"/>
      <c r="G74" s="108"/>
      <c r="H74" s="151">
        <f>46725.11+48000</f>
        <v>94725.11</v>
      </c>
    </row>
    <row r="75" spans="2:8" ht="19.5" customHeight="1" x14ac:dyDescent="0.25">
      <c r="B75" s="208" t="s">
        <v>564</v>
      </c>
      <c r="C75" s="209"/>
      <c r="D75" s="153"/>
      <c r="E75" s="108" t="s">
        <v>565</v>
      </c>
      <c r="F75" s="152">
        <v>2791</v>
      </c>
      <c r="G75" s="108" t="s">
        <v>458</v>
      </c>
      <c r="H75" s="152">
        <v>52011.26</v>
      </c>
    </row>
    <row r="76" spans="2:8" ht="114.75" customHeight="1" x14ac:dyDescent="0.25">
      <c r="B76" s="208" t="s">
        <v>566</v>
      </c>
      <c r="C76" s="209"/>
      <c r="D76" s="150"/>
      <c r="E76" s="150"/>
      <c r="F76" s="151">
        <f>19740+28825.61</f>
        <v>48565.61</v>
      </c>
      <c r="G76" s="150"/>
      <c r="H76" s="151">
        <f>8536.63+1120+19740+5660+26208+28825.61+30000</f>
        <v>120090.23999999999</v>
      </c>
    </row>
    <row r="77" spans="2:8" ht="15" customHeight="1" x14ac:dyDescent="0.25">
      <c r="B77" s="243" t="s">
        <v>50</v>
      </c>
      <c r="C77" s="244"/>
      <c r="D77" s="108"/>
      <c r="E77" s="108"/>
      <c r="F77" s="162"/>
      <c r="G77" s="163"/>
      <c r="H77" s="162"/>
    </row>
    <row r="78" spans="2:8" ht="33" customHeight="1" x14ac:dyDescent="0.25">
      <c r="B78" s="208" t="s">
        <v>51</v>
      </c>
      <c r="C78" s="209"/>
      <c r="D78" s="153" t="s">
        <v>284</v>
      </c>
      <c r="E78" s="108" t="s">
        <v>543</v>
      </c>
      <c r="F78" s="154"/>
      <c r="G78" s="108" t="s">
        <v>544</v>
      </c>
      <c r="H78" s="154"/>
    </row>
    <row r="79" spans="2:8" ht="37.5" customHeight="1" x14ac:dyDescent="0.25">
      <c r="B79" s="208" t="s">
        <v>52</v>
      </c>
      <c r="C79" s="209"/>
      <c r="D79" s="108" t="s">
        <v>285</v>
      </c>
      <c r="E79" s="108" t="s">
        <v>543</v>
      </c>
      <c r="F79" s="154"/>
      <c r="G79" s="108" t="s">
        <v>544</v>
      </c>
      <c r="H79" s="154"/>
    </row>
    <row r="80" spans="2:8" ht="41.25" customHeight="1" x14ac:dyDescent="0.25">
      <c r="B80" s="208" t="s">
        <v>53</v>
      </c>
      <c r="C80" s="209"/>
      <c r="D80" s="108" t="s">
        <v>286</v>
      </c>
      <c r="E80" s="108" t="s">
        <v>543</v>
      </c>
      <c r="F80" s="154"/>
      <c r="G80" s="108" t="s">
        <v>544</v>
      </c>
      <c r="H80" s="154"/>
    </row>
    <row r="81" spans="2:11" ht="73.5" customHeight="1" x14ac:dyDescent="0.25">
      <c r="B81" s="208" t="s">
        <v>54</v>
      </c>
      <c r="C81" s="209"/>
      <c r="D81" s="150" t="s">
        <v>266</v>
      </c>
      <c r="E81" s="150" t="s">
        <v>543</v>
      </c>
      <c r="F81" s="151">
        <v>473101.33</v>
      </c>
      <c r="G81" s="150" t="s">
        <v>544</v>
      </c>
      <c r="H81" s="151">
        <v>476845</v>
      </c>
    </row>
    <row r="82" spans="2:11" x14ac:dyDescent="0.25">
      <c r="B82" s="208" t="s">
        <v>55</v>
      </c>
      <c r="C82" s="209"/>
      <c r="D82" s="108" t="s">
        <v>266</v>
      </c>
      <c r="E82" s="108" t="s">
        <v>567</v>
      </c>
      <c r="F82" s="152">
        <f>794634</f>
        <v>794634</v>
      </c>
      <c r="G82" s="108" t="s">
        <v>568</v>
      </c>
      <c r="H82" s="152">
        <f>476630.47+265299.73</f>
        <v>741930.2</v>
      </c>
    </row>
    <row r="83" spans="2:11" ht="20.25" customHeight="1" x14ac:dyDescent="0.25">
      <c r="B83" s="208" t="s">
        <v>56</v>
      </c>
      <c r="C83" s="209"/>
      <c r="D83" s="108" t="s">
        <v>266</v>
      </c>
      <c r="E83" s="108" t="s">
        <v>543</v>
      </c>
      <c r="F83" s="152">
        <v>1033700</v>
      </c>
      <c r="G83" s="108" t="s">
        <v>543</v>
      </c>
      <c r="H83" s="152">
        <v>1033700</v>
      </c>
    </row>
    <row r="84" spans="2:11" ht="20.25" customHeight="1" x14ac:dyDescent="0.25">
      <c r="B84" s="208" t="s">
        <v>57</v>
      </c>
      <c r="C84" s="209"/>
      <c r="D84" s="108" t="s">
        <v>266</v>
      </c>
      <c r="E84" s="108" t="s">
        <v>543</v>
      </c>
      <c r="F84" s="154"/>
      <c r="G84" s="108" t="s">
        <v>544</v>
      </c>
      <c r="H84" s="154"/>
    </row>
    <row r="85" spans="2:11" ht="18" customHeight="1" x14ac:dyDescent="0.25">
      <c r="B85" s="208" t="s">
        <v>58</v>
      </c>
      <c r="C85" s="209"/>
      <c r="D85" s="108" t="s">
        <v>266</v>
      </c>
      <c r="E85" s="108" t="s">
        <v>543</v>
      </c>
      <c r="F85" s="164"/>
      <c r="G85" s="108" t="s">
        <v>544</v>
      </c>
      <c r="H85" s="164"/>
    </row>
    <row r="86" spans="2:11" ht="25.5" customHeight="1" x14ac:dyDescent="0.25">
      <c r="B86" s="208" t="s">
        <v>282</v>
      </c>
      <c r="C86" s="209"/>
      <c r="D86" s="108"/>
      <c r="E86" s="108"/>
      <c r="F86" s="154"/>
      <c r="G86" s="108"/>
      <c r="H86" s="154"/>
    </row>
    <row r="87" spans="2:11" ht="15" customHeight="1" x14ac:dyDescent="0.25">
      <c r="B87" s="208" t="s">
        <v>569</v>
      </c>
      <c r="C87" s="209"/>
      <c r="D87" s="108"/>
      <c r="E87" s="108"/>
      <c r="F87" s="161">
        <f>82992.3+77381.03</f>
        <v>160373.33000000002</v>
      </c>
      <c r="G87" s="108"/>
      <c r="H87" s="161">
        <f>82992.3+77381.03</f>
        <v>160373.33000000002</v>
      </c>
    </row>
    <row r="88" spans="2:11" ht="36.75" customHeight="1" x14ac:dyDescent="0.25">
      <c r="B88" s="208" t="s">
        <v>570</v>
      </c>
      <c r="C88" s="209"/>
      <c r="D88" s="150"/>
      <c r="E88" s="150"/>
      <c r="F88" s="168"/>
      <c r="G88" s="150" t="s">
        <v>571</v>
      </c>
      <c r="H88" s="168">
        <v>64877.75</v>
      </c>
    </row>
    <row r="89" spans="2:11" ht="27" customHeight="1" x14ac:dyDescent="0.25">
      <c r="B89" s="208" t="s">
        <v>572</v>
      </c>
      <c r="C89" s="209"/>
      <c r="D89" s="108"/>
      <c r="E89" s="108"/>
      <c r="F89" s="168"/>
      <c r="G89" s="108" t="s">
        <v>573</v>
      </c>
      <c r="H89" s="161">
        <v>32180.959999999999</v>
      </c>
    </row>
    <row r="90" spans="2:11" ht="15" customHeight="1" x14ac:dyDescent="0.25">
      <c r="B90" s="243" t="s">
        <v>59</v>
      </c>
      <c r="C90" s="244"/>
      <c r="D90" s="108"/>
      <c r="E90" s="108"/>
      <c r="F90" s="162"/>
      <c r="G90" s="108"/>
      <c r="H90" s="162"/>
      <c r="K90" s="5"/>
    </row>
    <row r="91" spans="2:11" ht="15" customHeight="1" x14ac:dyDescent="0.25">
      <c r="B91" s="208" t="s">
        <v>60</v>
      </c>
      <c r="C91" s="209"/>
      <c r="D91" s="108" t="s">
        <v>272</v>
      </c>
      <c r="E91" s="108" t="s">
        <v>543</v>
      </c>
      <c r="F91" s="154"/>
      <c r="G91" s="108" t="s">
        <v>544</v>
      </c>
      <c r="H91" s="154"/>
    </row>
    <row r="92" spans="2:11" ht="15" customHeight="1" x14ac:dyDescent="0.25">
      <c r="B92" s="208" t="s">
        <v>61</v>
      </c>
      <c r="C92" s="209"/>
      <c r="D92" s="108" t="s">
        <v>270</v>
      </c>
      <c r="E92" s="108" t="s">
        <v>543</v>
      </c>
      <c r="F92" s="154"/>
      <c r="G92" s="108" t="s">
        <v>544</v>
      </c>
      <c r="H92" s="154"/>
    </row>
    <row r="93" spans="2:11" ht="82.5" customHeight="1" x14ac:dyDescent="0.25">
      <c r="B93" s="208" t="s">
        <v>62</v>
      </c>
      <c r="C93" s="209"/>
      <c r="D93" s="150" t="s">
        <v>266</v>
      </c>
      <c r="E93" s="150" t="s">
        <v>543</v>
      </c>
      <c r="F93" s="151">
        <f>506552.94+357454.34+248497.67</f>
        <v>1112504.95</v>
      </c>
      <c r="G93" s="150" t="s">
        <v>544</v>
      </c>
      <c r="H93" s="151">
        <f>535000+374500+262150</f>
        <v>1171650</v>
      </c>
    </row>
    <row r="94" spans="2:11" ht="20.25" customHeight="1" x14ac:dyDescent="0.25">
      <c r="B94" s="208" t="s">
        <v>290</v>
      </c>
      <c r="C94" s="209"/>
      <c r="D94" s="108" t="s">
        <v>291</v>
      </c>
      <c r="E94" s="161" t="s">
        <v>574</v>
      </c>
      <c r="F94" s="152">
        <f>513022.46+280406.43+760273.04+465800.6+3802</f>
        <v>2023304.5300000003</v>
      </c>
      <c r="G94" s="108" t="s">
        <v>575</v>
      </c>
      <c r="H94" s="152">
        <f>68840.84+325020.69+280406.43+689603.45+145906.92+144260.12</f>
        <v>1654038.4499999997</v>
      </c>
    </row>
    <row r="95" spans="2:11" ht="24" customHeight="1" x14ac:dyDescent="0.25">
      <c r="B95" s="208" t="s">
        <v>282</v>
      </c>
      <c r="C95" s="209"/>
      <c r="D95" s="108"/>
      <c r="E95" s="108"/>
      <c r="F95" s="154"/>
      <c r="G95" s="108"/>
      <c r="H95" s="154"/>
    </row>
    <row r="96" spans="2:11" ht="42" customHeight="1" x14ac:dyDescent="0.25">
      <c r="B96" s="208" t="s">
        <v>576</v>
      </c>
      <c r="C96" s="209"/>
      <c r="D96" s="108"/>
      <c r="E96" s="108"/>
      <c r="F96" s="152">
        <f>19200+47200</f>
        <v>66400</v>
      </c>
      <c r="G96" s="108"/>
      <c r="H96" s="152">
        <f>19200+47200</f>
        <v>66400</v>
      </c>
    </row>
    <row r="97" spans="2:8" x14ac:dyDescent="0.25">
      <c r="B97" s="243" t="s">
        <v>63</v>
      </c>
      <c r="C97" s="244"/>
      <c r="D97" s="153"/>
      <c r="E97" s="108" t="s">
        <v>543</v>
      </c>
      <c r="F97" s="152">
        <v>935513.44</v>
      </c>
      <c r="G97" s="108" t="s">
        <v>544</v>
      </c>
      <c r="H97" s="152">
        <v>978816</v>
      </c>
    </row>
    <row r="98" spans="2:8" ht="15" customHeight="1" x14ac:dyDescent="0.25">
      <c r="B98" s="243" t="s">
        <v>64</v>
      </c>
      <c r="C98" s="244"/>
      <c r="D98" s="108"/>
      <c r="E98" s="108" t="s">
        <v>543</v>
      </c>
      <c r="F98" s="152">
        <v>793281.02</v>
      </c>
      <c r="G98" s="108" t="s">
        <v>544</v>
      </c>
      <c r="H98" s="152">
        <v>811632</v>
      </c>
    </row>
    <row r="99" spans="2:8" ht="15" customHeight="1" x14ac:dyDescent="0.25">
      <c r="B99" s="243" t="s">
        <v>294</v>
      </c>
      <c r="C99" s="244"/>
      <c r="D99" s="108"/>
      <c r="E99" s="108"/>
      <c r="F99" s="162"/>
      <c r="G99" s="163"/>
      <c r="H99" s="162"/>
    </row>
    <row r="100" spans="2:8" ht="36.75" customHeight="1" x14ac:dyDescent="0.25">
      <c r="B100" s="208" t="s">
        <v>577</v>
      </c>
      <c r="C100" s="209"/>
      <c r="D100" s="153" t="s">
        <v>296</v>
      </c>
      <c r="E100" s="108"/>
      <c r="F100" s="152">
        <v>120000</v>
      </c>
      <c r="G100" s="108"/>
      <c r="H100" s="152">
        <v>139934.9</v>
      </c>
    </row>
    <row r="101" spans="2:8" ht="38.25" customHeight="1" x14ac:dyDescent="0.25">
      <c r="B101" s="208" t="s">
        <v>578</v>
      </c>
      <c r="C101" s="209"/>
      <c r="D101" s="153" t="s">
        <v>297</v>
      </c>
      <c r="E101" s="108" t="s">
        <v>579</v>
      </c>
      <c r="F101" s="152">
        <v>42270</v>
      </c>
      <c r="G101" s="108" t="s">
        <v>579</v>
      </c>
      <c r="H101" s="152">
        <v>49200</v>
      </c>
    </row>
    <row r="102" spans="2:8" ht="24.75" customHeight="1" x14ac:dyDescent="0.25">
      <c r="B102" s="208" t="s">
        <v>580</v>
      </c>
      <c r="C102" s="209"/>
      <c r="D102" s="153"/>
      <c r="E102" s="108"/>
      <c r="F102" s="152"/>
      <c r="G102" s="108" t="s">
        <v>581</v>
      </c>
      <c r="H102" s="152">
        <v>28000</v>
      </c>
    </row>
    <row r="103" spans="2:8" ht="15" customHeight="1" x14ac:dyDescent="0.25">
      <c r="B103" s="208" t="s">
        <v>72</v>
      </c>
      <c r="C103" s="209"/>
      <c r="D103" s="108" t="s">
        <v>299</v>
      </c>
      <c r="E103" s="108" t="s">
        <v>582</v>
      </c>
      <c r="F103" s="152">
        <v>112321.44</v>
      </c>
      <c r="G103" s="108" t="s">
        <v>583</v>
      </c>
      <c r="H103" s="152">
        <v>117520.52</v>
      </c>
    </row>
    <row r="104" spans="2:8" ht="15" customHeight="1" x14ac:dyDescent="0.25">
      <c r="B104" s="208" t="s">
        <v>301</v>
      </c>
      <c r="C104" s="209"/>
      <c r="D104" s="108" t="s">
        <v>291</v>
      </c>
      <c r="E104" s="108" t="s">
        <v>543</v>
      </c>
      <c r="F104" s="152">
        <v>883600.37</v>
      </c>
      <c r="G104" s="108" t="s">
        <v>544</v>
      </c>
      <c r="H104" s="161">
        <v>924500</v>
      </c>
    </row>
    <row r="105" spans="2:8" x14ac:dyDescent="0.25">
      <c r="B105" s="208" t="s">
        <v>282</v>
      </c>
      <c r="C105" s="209"/>
      <c r="D105" s="108"/>
      <c r="E105" s="108"/>
      <c r="F105" s="154"/>
      <c r="G105" s="108"/>
      <c r="H105" s="154"/>
    </row>
    <row r="106" spans="2:8" x14ac:dyDescent="0.25">
      <c r="B106" s="208" t="s">
        <v>584</v>
      </c>
      <c r="C106" s="209"/>
      <c r="D106" s="108"/>
      <c r="E106" s="108"/>
      <c r="F106" s="154"/>
      <c r="G106" s="108" t="s">
        <v>502</v>
      </c>
      <c r="H106" s="152">
        <v>74750</v>
      </c>
    </row>
    <row r="107" spans="2:8" ht="15" customHeight="1" x14ac:dyDescent="0.25">
      <c r="B107" s="208" t="s">
        <v>406</v>
      </c>
      <c r="C107" s="209"/>
      <c r="D107" s="108" t="s">
        <v>407</v>
      </c>
      <c r="E107" s="108" t="s">
        <v>585</v>
      </c>
      <c r="F107" s="152">
        <v>728705.93</v>
      </c>
      <c r="G107" s="108" t="s">
        <v>585</v>
      </c>
      <c r="H107" s="152">
        <v>728705.93</v>
      </c>
    </row>
    <row r="108" spans="2:8" ht="15" customHeight="1" x14ac:dyDescent="0.25">
      <c r="B108" s="208" t="s">
        <v>302</v>
      </c>
      <c r="C108" s="209"/>
      <c r="D108" s="108" t="s">
        <v>291</v>
      </c>
      <c r="E108" s="108" t="s">
        <v>586</v>
      </c>
      <c r="F108" s="152">
        <v>389569.74</v>
      </c>
      <c r="G108" s="108" t="s">
        <v>587</v>
      </c>
      <c r="H108" s="152">
        <v>337283.62</v>
      </c>
    </row>
    <row r="109" spans="2:8" x14ac:dyDescent="0.25">
      <c r="B109" s="208" t="s">
        <v>588</v>
      </c>
      <c r="C109" s="209"/>
      <c r="D109" s="108"/>
      <c r="E109" s="108"/>
      <c r="F109" s="152">
        <v>15000</v>
      </c>
      <c r="G109" s="108"/>
      <c r="H109" s="152">
        <v>15000</v>
      </c>
    </row>
    <row r="110" spans="2:8" x14ac:dyDescent="0.25">
      <c r="B110" s="208" t="s">
        <v>589</v>
      </c>
      <c r="C110" s="209"/>
      <c r="D110" s="108"/>
      <c r="E110" s="108" t="s">
        <v>590</v>
      </c>
      <c r="F110" s="152">
        <v>70000</v>
      </c>
      <c r="G110" s="108" t="s">
        <v>590</v>
      </c>
      <c r="H110" s="152">
        <v>70000</v>
      </c>
    </row>
    <row r="111" spans="2:8" ht="15" customHeight="1" x14ac:dyDescent="0.25">
      <c r="B111" s="208" t="s">
        <v>591</v>
      </c>
      <c r="C111" s="209"/>
      <c r="D111" s="108"/>
      <c r="E111" s="108" t="s">
        <v>573</v>
      </c>
      <c r="F111" s="152">
        <v>15000</v>
      </c>
      <c r="G111" s="108" t="s">
        <v>573</v>
      </c>
      <c r="H111" s="152">
        <v>15000</v>
      </c>
    </row>
    <row r="112" spans="2:8" ht="15" customHeight="1" x14ac:dyDescent="0.25">
      <c r="B112" s="208" t="s">
        <v>592</v>
      </c>
      <c r="C112" s="209"/>
      <c r="D112" s="108"/>
      <c r="E112" s="108"/>
      <c r="F112" s="152">
        <v>12000</v>
      </c>
      <c r="G112" s="108"/>
      <c r="H112" s="152">
        <v>12000</v>
      </c>
    </row>
    <row r="113" spans="2:8" ht="15" customHeight="1" x14ac:dyDescent="0.25">
      <c r="B113" s="208" t="s">
        <v>593</v>
      </c>
      <c r="C113" s="209"/>
      <c r="D113" s="108"/>
      <c r="E113" s="108" t="s">
        <v>594</v>
      </c>
      <c r="F113" s="152">
        <v>48600</v>
      </c>
      <c r="G113" s="108" t="s">
        <v>595</v>
      </c>
      <c r="H113" s="152">
        <v>64800</v>
      </c>
    </row>
    <row r="114" spans="2:8" x14ac:dyDescent="0.25">
      <c r="B114" s="208" t="s">
        <v>596</v>
      </c>
      <c r="C114" s="209"/>
      <c r="D114" s="108"/>
      <c r="E114" s="108" t="s">
        <v>597</v>
      </c>
      <c r="F114" s="152">
        <v>45540</v>
      </c>
      <c r="G114" s="108" t="s">
        <v>597</v>
      </c>
      <c r="H114" s="152">
        <v>45540</v>
      </c>
    </row>
    <row r="115" spans="2:8" ht="15" customHeight="1" x14ac:dyDescent="0.25">
      <c r="B115" s="208" t="s">
        <v>598</v>
      </c>
      <c r="C115" s="209"/>
      <c r="D115" s="108"/>
      <c r="E115" s="108" t="s">
        <v>599</v>
      </c>
      <c r="F115" s="152">
        <v>4540</v>
      </c>
      <c r="G115" s="108" t="s">
        <v>599</v>
      </c>
      <c r="H115" s="152">
        <v>4540</v>
      </c>
    </row>
    <row r="116" spans="2:8" ht="41.25" customHeight="1" x14ac:dyDescent="0.25">
      <c r="B116" s="208" t="s">
        <v>320</v>
      </c>
      <c r="C116" s="209"/>
      <c r="D116" s="108"/>
      <c r="E116" s="108"/>
      <c r="F116" s="152">
        <v>4643733</v>
      </c>
      <c r="G116" s="108"/>
      <c r="H116" s="152">
        <v>4643733</v>
      </c>
    </row>
    <row r="117" spans="2:8" x14ac:dyDescent="0.25">
      <c r="B117" s="206" t="s">
        <v>73</v>
      </c>
      <c r="C117" s="207"/>
      <c r="D117" s="108"/>
      <c r="E117" s="108"/>
      <c r="F117" s="165">
        <v>33504904.649999999</v>
      </c>
      <c r="G117" s="165"/>
      <c r="H117" s="165">
        <v>33661237</v>
      </c>
    </row>
    <row r="118" spans="2:8" x14ac:dyDescent="0.25">
      <c r="B118" s="9"/>
      <c r="C118" s="9"/>
      <c r="D118" s="5"/>
      <c r="E118" s="5"/>
      <c r="F118" s="15"/>
      <c r="G118" s="5"/>
      <c r="H118" s="15"/>
    </row>
    <row r="119" spans="2:8" ht="15" customHeight="1" x14ac:dyDescent="0.25">
      <c r="B119" s="257" t="s">
        <v>177</v>
      </c>
      <c r="C119" s="257"/>
      <c r="D119" s="257"/>
      <c r="E119" s="257"/>
      <c r="F119" s="257"/>
      <c r="G119" s="257"/>
    </row>
    <row r="120" spans="2:8" ht="63" customHeight="1" x14ac:dyDescent="0.25">
      <c r="B120" s="225" t="s">
        <v>29</v>
      </c>
      <c r="C120" s="227"/>
      <c r="D120" s="172" t="s">
        <v>30</v>
      </c>
      <c r="E120" s="172" t="s">
        <v>31</v>
      </c>
      <c r="F120" s="173" t="s">
        <v>82</v>
      </c>
      <c r="G120" s="173" t="s">
        <v>32</v>
      </c>
    </row>
    <row r="121" spans="2:8" x14ac:dyDescent="0.25">
      <c r="B121" s="181" t="s">
        <v>83</v>
      </c>
      <c r="C121" s="183"/>
      <c r="D121" s="171">
        <f>'3,19'!D99+'3,15'!D97+'3,14'!D95+'3,12'!D98+'3,11'!D97+'3,09'!D98+'3,06'!D101+'3,05'!D97+'3,03'!D99+'3,01'!D102+'2,21'!D95+'2,20'!D96+'2,17'!D96+'2,11'!D100+'2,10'!D99+'2,09'!D97+'2,08'!D98+'2,07'!D100+'2,06'!D96+'2,05'!D95+'2,04'!D96+'2,03'!D96+'2,02'!D94+'2,01'!D95+'1,17'!D96+'1,14'!D96+'1,13'!D97</f>
        <v>2750914.9899999988</v>
      </c>
      <c r="E121" s="171">
        <f>'3,19'!E99+'3,15'!E97+'3,14'!E95+'3,12'!E98+'3,11'!E97+'3,09'!E98+'3,06'!E101+'3,05'!E97+'3,03'!E99+'3,01'!E102+'2,21'!E95+'2,20'!E96+'2,17'!E96+'2,11'!E100+'2,10'!E99+'2,09'!E97+'2,08'!E98+'2,07'!E100+'2,06'!E96+'2,05'!E95+'2,04'!E96+'2,03'!E96+'2,02'!E94+'2,01'!E95+'1,17'!E96+'1,14'!E96+'1,13'!E97</f>
        <v>1831253.58</v>
      </c>
      <c r="F121" s="171">
        <f>'3,19'!F99+'3,15'!F97+'3,14'!F95+'3,12'!F98+'3,11'!F97+'3,09'!F98+'3,06'!F101+'3,05'!F97+'3,03'!F99+'3,01'!F102+'2,21'!F95+'2,20'!F96+'2,17'!F96+'2,11'!F100+'2,10'!F99+'2,09'!F97+'2,08'!F98+'2,07'!F100+'2,06'!F96+'2,05'!F95+'2,04'!F96+'2,03'!F96+'2,02'!F94+'2,01'!F95+'1,17'!F96+'1,14'!F96+'1,13'!F97</f>
        <v>1831253.58</v>
      </c>
      <c r="G121" s="171">
        <f>'3,19'!G99+'3,15'!G97+'3,14'!G95+'3,12'!G98+'3,11'!G97+'3,09'!G98+'3,06'!G101+'3,05'!G97+'3,03'!G99+'3,01'!G102+'2,21'!G95+'2,20'!G96+'2,17'!G96+'2,11'!G100+'2,10'!G99+'2,09'!G97+'2,08'!G98+'2,07'!G100+'2,06'!G96+'2,05'!G95+'2,04'!G96+'2,03'!G96+'2,02'!G94+'2,01'!G95+'1,17'!G96+'1,14'!G96+'1,13'!G97</f>
        <v>699885.05</v>
      </c>
    </row>
    <row r="122" spans="2:8" x14ac:dyDescent="0.25">
      <c r="B122" s="181" t="s">
        <v>84</v>
      </c>
      <c r="C122" s="183"/>
      <c r="D122" s="171">
        <f>'3,19'!D100+'3,15'!D98+'3,14'!D96+'3,12'!D99+'3,11'!D98+'3,09'!D99+'3,06'!D102+'3,05'!D98+'3,03'!D100+'3,01'!D103+'2,21'!D96+'2,20'!D97+'2,17'!D97+'2,11'!D101+'2,10'!D100+'2,09'!D98+'2,08'!D99+'2,07'!D101+'2,06'!D97+'2,05'!D96+'2,04'!D97+'2,03'!D97+'2,02'!D95+'2,01'!D96+'1,17'!D97+'1,14'!D97+'1,13'!D98</f>
        <v>2765208.74</v>
      </c>
      <c r="E122" s="171">
        <f>'3,19'!E100+'3,15'!E98+'3,14'!E96+'3,12'!E99+'3,11'!E98+'3,09'!E99+'3,06'!E102+'3,05'!E98+'3,03'!E100+'3,01'!E103+'2,21'!E96+'2,20'!E97+'2,17'!E97+'2,11'!E101+'2,10'!E100+'2,09'!E98+'2,08'!E99+'2,07'!E101+'2,06'!E97+'2,05'!E96+'2,04'!E97+'2,03'!E97+'2,02'!E95+'2,01'!E96+'1,17'!E97+'1,14'!E97+'1,13'!E98</f>
        <v>2813265.1700000004</v>
      </c>
      <c r="F122" s="171">
        <f>'3,19'!F100+'3,15'!F98+'3,14'!F96+'3,12'!F99+'3,11'!F98+'3,09'!F99+'3,06'!F102+'3,05'!F98+'3,03'!F100+'3,01'!F103+'2,21'!F96+'2,20'!F97+'2,17'!F97+'2,11'!F101+'2,10'!F100+'2,09'!F98+'2,08'!F99+'2,07'!F101+'2,06'!F97+'2,05'!F96+'2,04'!F97+'2,03'!F97+'2,02'!F95+'2,01'!F96+'1,17'!F97+'1,14'!F97+'1,13'!F98</f>
        <v>2813265.1700000004</v>
      </c>
      <c r="G122" s="171">
        <f>'3,19'!G100+'3,15'!G98+'3,14'!G96+'3,12'!G99+'3,11'!G98+'3,09'!G99+'3,06'!G102+'3,05'!G98+'3,03'!G100+'3,01'!G103+'2,21'!G96+'2,20'!G97+'2,17'!G97+'2,11'!G101+'2,10'!G100+'2,09'!G98+'2,08'!G99+'2,07'!G101+'2,06'!G97+'2,05'!G96+'2,04'!G97+'2,03'!G97+'2,02'!G95+'2,01'!G96+'1,17'!G97+'1,14'!G97+'1,13'!G98</f>
        <v>621724.63</v>
      </c>
    </row>
    <row r="123" spans="2:8" ht="30" customHeight="1" x14ac:dyDescent="0.25">
      <c r="B123" s="174" t="s">
        <v>85</v>
      </c>
      <c r="C123" s="175"/>
      <c r="D123" s="171">
        <f>'3,19'!D101+'3,15'!D99+'3,14'!D97+'3,12'!D100+'3,11'!D99+'3,09'!D100+'3,06'!D103+'3,05'!D99+'3,03'!D101+'3,01'!D104+'2,21'!D97+'2,20'!D98+'2,17'!D98+'2,11'!D102+'2,10'!D101+'2,09'!D99+'2,08'!D100+'2,07'!D102+'2,06'!D98+'2,05'!D97+'2,04'!D98+'2,03'!D98+'2,02'!D96+'2,01'!D97+'1,17'!D98+'1,14'!D98+'1,13'!D99</f>
        <v>954217.54999999993</v>
      </c>
      <c r="E123" s="171">
        <f>'3,19'!E101+'3,15'!E99+'3,14'!E97+'3,12'!E100+'3,11'!E99+'3,09'!E100+'3,06'!E103+'3,05'!E99+'3,03'!E101+'3,01'!E104+'2,21'!E97+'2,20'!E98+'2,17'!E98+'2,11'!E102+'2,10'!E101+'2,09'!E99+'2,08'!E100+'2,07'!E102+'2,06'!E98+'2,05'!E97+'2,04'!E98+'2,03'!E98+'2,02'!E96+'2,01'!E97+'1,17'!E98+'1,14'!E98+'1,13'!E99</f>
        <v>943756.44000000006</v>
      </c>
      <c r="F123" s="171">
        <f>'3,19'!F101+'3,15'!F99+'3,14'!F97+'3,12'!F100+'3,11'!F99+'3,09'!F100+'3,06'!F103+'3,05'!F99+'3,03'!F101+'3,01'!F104+'2,21'!F97+'2,20'!F98+'2,17'!F98+'2,11'!F102+'2,10'!F101+'2,09'!F99+'2,08'!F100+'2,07'!F102+'2,06'!F98+'2,05'!F97+'2,04'!F98+'2,03'!F98+'2,02'!F96+'2,01'!F97+'1,17'!F98+'1,14'!F98+'1,13'!F99</f>
        <v>943756.44000000006</v>
      </c>
      <c r="G123" s="171">
        <f>'3,19'!G101+'3,15'!G99+'3,14'!G97+'3,12'!G100+'3,11'!G99+'3,09'!G100+'3,06'!G103+'3,05'!G99+'3,03'!G101+'3,01'!G104+'2,21'!G97+'2,20'!G98+'2,17'!G98+'2,11'!G102+'2,10'!G101+'2,09'!G99+'2,08'!G100+'2,07'!G102+'2,06'!G98+'2,05'!G97+'2,04'!G98+'2,03'!G98+'2,02'!G96+'2,01'!G97+'1,17'!G98+'1,14'!G98+'1,13'!G99</f>
        <v>252664.03</v>
      </c>
    </row>
    <row r="124" spans="2:8" ht="30" customHeight="1" x14ac:dyDescent="0.25">
      <c r="B124" s="174" t="s">
        <v>86</v>
      </c>
      <c r="C124" s="175"/>
      <c r="D124" s="171">
        <f>'3,19'!D102+'3,15'!D100+'3,14'!D98+'3,12'!D101+'3,11'!D100+'3,09'!D101+'3,06'!D104+'3,05'!D100+'3,03'!D102+'3,01'!D105+'2,21'!D98+'2,20'!D99+'2,17'!D99+'2,11'!D103+'2,10'!D102+'2,09'!D100+'2,08'!D101+'2,07'!D103+'2,06'!D99+'2,05'!D98+'2,04'!D99+'2,03'!D99+'2,02'!D97+'2,01'!D98+'1,17'!D99+'1,14'!D99+'1,13'!D100</f>
        <v>232282.96000000002</v>
      </c>
      <c r="E124" s="171">
        <f>'3,19'!E102+'3,15'!E100+'3,14'!E98+'3,12'!E101+'3,11'!E100+'3,09'!E101+'3,06'!E104+'3,05'!E100+'3,03'!E102+'3,01'!E105+'2,21'!E98+'2,20'!E99+'2,17'!E99+'2,11'!E103+'2,10'!E102+'2,09'!E100+'2,08'!E101+'2,07'!E103+'2,06'!E99+'2,05'!E98+'2,04'!E99+'2,03'!E99+'2,02'!E97+'2,01'!E98+'1,17'!E99+'1,14'!E99+'1,13'!E100</f>
        <v>232015.77</v>
      </c>
      <c r="F124" s="171">
        <f>'3,19'!F102+'3,15'!F100+'3,14'!F98+'3,12'!F101+'3,11'!F100+'3,09'!F101+'3,06'!F104+'3,05'!F100+'3,03'!F102+'3,01'!F105+'2,21'!F98+'2,20'!F99+'2,17'!F99+'2,11'!F103+'2,10'!F102+'2,09'!F100+'2,08'!F101+'2,07'!F103+'2,06'!F99+'2,05'!F98+'2,04'!F99+'2,03'!F99+'2,02'!F97+'2,01'!F98+'1,17'!F99+'1,14'!F99+'1,13'!F100</f>
        <v>232015.77</v>
      </c>
      <c r="G124" s="171">
        <f>'3,19'!G102+'3,15'!G100+'3,14'!G98+'3,12'!G101+'3,11'!G100+'3,09'!G101+'3,06'!G104+'3,05'!G100+'3,03'!G102+'3,01'!G105+'2,21'!G98+'2,20'!G99+'2,17'!G99+'2,11'!G103+'2,10'!G102+'2,09'!G100+'2,08'!G101+'2,07'!G103+'2,06'!G99+'2,05'!G98+'2,04'!G99+'2,03'!G99+'2,02'!G97+'2,01'!G98+'1,17'!G99+'1,14'!G99+'1,13'!G100</f>
        <v>55793.329999999994</v>
      </c>
    </row>
    <row r="125" spans="2:8" x14ac:dyDescent="0.25">
      <c r="B125" s="174" t="s">
        <v>87</v>
      </c>
      <c r="C125" s="175"/>
      <c r="D125" s="98">
        <f>'3,19'!D103+'3,15'!D101+'3,14'!D99+'3,12'!D102+'3,11'!D101+'3,09'!D102+'3,06'!D105+'3,05'!D101+'3,03'!D103+'3,01'!D106+'2,21'!D99+'2,20'!D100+'2,17'!D100+'2,11'!D104+'2,10'!D103+'2,09'!D101+'2,08'!D102+'2,07'!D104+'2,06'!D100+'2,05'!D99+'2,04'!D100+'2,03'!D100+'2,02'!D98+'2,01'!D99+'1,17'!D100+'1,14'!D100+'1,13'!D101</f>
        <v>2284778.4700000002</v>
      </c>
      <c r="E125" s="98">
        <f>'3,19'!E103+'3,15'!E101+'3,14'!E99+'3,12'!E102+'3,11'!E101+'3,09'!E102+'3,06'!E105+'3,05'!E101+'3,03'!E103+'3,01'!E106+'2,21'!E99+'2,20'!E100+'2,17'!E100+'2,11'!E104+'2,10'!E103+'2,09'!E101+'2,08'!E102+'2,07'!E104+'2,06'!E100+'2,05'!E99+'2,04'!E100+'2,03'!E100+'2,02'!E98+'2,01'!E99+'1,17'!E100+'1,14'!E100+'1,13'!E101</f>
        <v>2327178.17</v>
      </c>
      <c r="F125" s="98">
        <f>'3,19'!F103+'3,15'!F101+'3,14'!F99+'3,12'!F102+'3,11'!F101+'3,09'!F102+'3,06'!F105+'3,05'!F101+'3,03'!F103+'3,01'!F106+'2,21'!F99+'2,20'!F100+'2,17'!F100+'2,11'!F104+'2,10'!F103+'2,09'!F101+'2,08'!F102+'2,07'!F104+'2,06'!F100+'2,05'!F99+'2,04'!F100+'2,03'!F100+'2,02'!F98+'2,01'!F99+'1,17'!F100+'1,14'!F100+'1,13'!F101</f>
        <v>2327178.17</v>
      </c>
      <c r="G125" s="98">
        <f>'3,19'!G103+'3,15'!G101+'3,14'!G99+'3,12'!G102+'3,11'!G101+'3,09'!G102+'3,06'!G105+'3,05'!G101+'3,03'!G103+'3,01'!G106+'2,21'!G99+'2,20'!G100+'2,17'!G100+'2,11'!G104+'2,10'!G103+'2,09'!G101+'2,08'!G102+'2,07'!G104+'2,06'!G100+'2,05'!G99+'2,04'!G100+'2,03'!G100+'2,02'!G98+'2,01'!G99+'1,17'!G100+'1,14'!G100+'1,13'!G101</f>
        <v>621245.33000000019</v>
      </c>
    </row>
    <row r="126" spans="2:8" x14ac:dyDescent="0.25">
      <c r="B126" s="174" t="s">
        <v>88</v>
      </c>
      <c r="C126" s="175"/>
      <c r="D126" s="98">
        <f>'3,19'!D104+'3,15'!D102+'3,14'!D100+'3,12'!D103+'3,11'!D102+'3,09'!D103+'3,06'!D106+'3,05'!D102+'3,03'!D104+'3,01'!D107+'2,21'!D100+'2,20'!D101+'2,17'!D101+'2,11'!D105+'2,10'!D104+'2,09'!D102+'2,08'!D103+'2,07'!D105+'2,06'!D101+'2,05'!D100+'2,04'!D101+'2,03'!D101+'2,02'!D99+'2,01'!D100+'1,17'!D101+'1,14'!D101+'1,13'!D102</f>
        <v>171915.92</v>
      </c>
      <c r="E126" s="98">
        <f>'3,19'!E104+'3,15'!E102+'3,14'!E100+'3,12'!E103+'3,11'!E102+'3,09'!E103+'3,06'!E106+'3,05'!E102+'3,03'!E104+'3,01'!E107+'2,21'!E100+'2,20'!E101+'2,17'!E101+'2,11'!E105+'2,10'!E104+'2,09'!E102+'2,08'!E103+'2,07'!E105+'2,06'!E101+'2,05'!E100+'2,04'!E101+'2,03'!E101+'2,02'!E99+'2,01'!E100+'1,17'!E101+'1,14'!E101+'1,13'!E102</f>
        <v>168189.61999999997</v>
      </c>
      <c r="F126" s="98">
        <f>'3,19'!F104+'3,15'!F102+'3,14'!F100+'3,12'!F103+'3,11'!F102+'3,09'!F103+'3,06'!F106+'3,05'!F102+'3,03'!F104+'3,01'!F107+'2,21'!F100+'2,20'!F101+'2,17'!F101+'2,11'!F105+'2,10'!F104+'2,09'!F102+'2,08'!F103+'2,07'!F105+'2,06'!F101+'2,05'!F100+'2,04'!F101+'2,03'!F101+'2,02'!F99+'2,01'!F100+'1,17'!F101+'1,14'!F101+'1,13'!F102</f>
        <v>168189.61999999997</v>
      </c>
      <c r="G126" s="98">
        <f>'3,19'!G104+'3,15'!G102+'3,14'!G100+'3,12'!G103+'3,11'!G102+'3,09'!G103+'3,06'!G106+'3,05'!G102+'3,03'!G104+'3,01'!G107+'2,21'!G100+'2,20'!G101+'2,17'!G101+'2,11'!G105+'2,10'!G104+'2,09'!G102+'2,08'!G103+'2,07'!G105+'2,06'!G101+'2,05'!G100+'2,04'!G101+'2,03'!G101+'2,02'!G99+'2,01'!G100+'1,17'!G101+'1,14'!G101+'1,13'!G102</f>
        <v>45413.18</v>
      </c>
    </row>
    <row r="127" spans="2:8" x14ac:dyDescent="0.25">
      <c r="B127" s="174" t="s">
        <v>150</v>
      </c>
      <c r="C127" s="175"/>
      <c r="D127" s="98">
        <f>'3,19'!D105+'3,15'!D103+'3,14'!D101+'3,12'!D104+'3,11'!D103+'3,09'!D104+'3,06'!D107+'3,05'!D103+'3,03'!D105+'3,01'!D108+'2,21'!D101+'2,20'!D102+'2,17'!D102+'2,11'!D106+'2,10'!D105+'2,09'!D103+'2,08'!D104+'2,07'!D106+'2,06'!D102+'2,05'!D101+'2,04'!D102+'2,03'!D102+'2,02'!D100+'2,01'!D101+'1,17'!D102+'1,14'!D102+'1,13'!D103</f>
        <v>620550</v>
      </c>
      <c r="E127" s="98">
        <f>'3,19'!E105+'3,15'!E103+'3,14'!E101+'3,12'!E104+'3,11'!E103+'3,09'!E104+'3,06'!E107+'3,05'!E103+'3,03'!E105+'3,01'!E108+'2,21'!E101+'2,20'!E102+'2,17'!E102+'2,11'!E106+'2,10'!E105+'2,09'!E103+'2,08'!E104+'2,07'!E106+'2,06'!E102+'2,05'!E101+'2,04'!E102+'2,03'!E102+'2,02'!E100+'2,01'!E101+'1,17'!E102+'1,14'!E102+'1,13'!E103</f>
        <v>648050.32999999996</v>
      </c>
      <c r="F127" s="98">
        <f>'3,19'!F105+'3,15'!F103+'3,14'!F101+'3,12'!F104+'3,11'!F103+'3,09'!F104+'3,06'!F107+'3,05'!F103+'3,03'!F105+'3,01'!F108+'2,21'!F101+'2,20'!F102+'2,17'!F102+'2,11'!F106+'2,10'!F105+'2,09'!F103+'2,08'!F104+'2,07'!F106+'2,06'!F102+'2,05'!F101+'2,04'!F102+'2,03'!F102+'2,02'!F100+'2,01'!F101+'1,17'!F102+'1,14'!F102+'1,13'!F103</f>
        <v>648050.32999999996</v>
      </c>
      <c r="G127" s="98">
        <f>'3,19'!G105+'3,15'!G103+'3,14'!G101+'3,12'!G104+'3,11'!G103+'3,09'!G104+'3,06'!G107+'3,05'!G103+'3,03'!G105+'3,01'!G108+'2,21'!G101+'2,20'!G102+'2,17'!G102+'2,11'!G106+'2,10'!G105+'2,09'!G103+'2,08'!G104+'2,07'!G106+'2,06'!G102+'2,05'!G101+'2,04'!G102+'2,03'!G102+'2,02'!G100+'2,01'!G101+'1,17'!G102+'1,14'!G102+'1,13'!G103</f>
        <v>158087.43999999997</v>
      </c>
    </row>
    <row r="128" spans="2:8" x14ac:dyDescent="0.25">
      <c r="B128" s="174" t="s">
        <v>89</v>
      </c>
      <c r="C128" s="175"/>
      <c r="D128" s="98">
        <f>'3,19'!D106+'3,15'!D104+'3,14'!D102+'3,12'!D105+'3,11'!D104+'3,09'!D105+'3,06'!D108+'3,05'!D104+'3,03'!D106+'3,01'!D109+'2,21'!D102+'2,20'!D103+'2,17'!D103+'2,11'!D107+'2,10'!D106+'2,09'!D104+'2,08'!D105+'2,07'!D107+'2,06'!D103+'2,05'!D102+'2,04'!D103+'2,03'!D103+'2,02'!D101+'2,01'!D102+'1,17'!D103+'1,14'!D103+'1,13'!D104</f>
        <v>420665.55000000005</v>
      </c>
      <c r="E128" s="98">
        <f>'3,19'!E106+'3,15'!E104+'3,14'!E102+'3,12'!E105+'3,11'!E104+'3,09'!E105+'3,06'!E108+'3,05'!E104+'3,03'!E106+'3,01'!E109+'2,21'!E102+'2,20'!E103+'2,17'!E103+'2,11'!E107+'2,10'!E106+'2,09'!E104+'2,08'!E105+'2,07'!E107+'2,06'!E103+'2,05'!E102+'2,04'!E103+'2,03'!E103+'2,02'!E101+'2,01'!E102+'1,17'!E103+'1,14'!E103+'1,13'!E104</f>
        <v>428474.2699999999</v>
      </c>
      <c r="F128" s="98">
        <f>'3,19'!F106+'3,15'!F104+'3,14'!F102+'3,12'!F105+'3,11'!F104+'3,09'!F105+'3,06'!F108+'3,05'!F104+'3,03'!F106+'3,01'!F109+'2,21'!F102+'2,20'!F103+'2,17'!F103+'2,11'!F107+'2,10'!F106+'2,09'!F104+'2,08'!F105+'2,07'!F107+'2,06'!F103+'2,05'!F102+'2,04'!F103+'2,03'!F103+'2,02'!F101+'2,01'!F102+'1,17'!F103+'1,14'!F103+'1,13'!F104</f>
        <v>428474.2699999999</v>
      </c>
      <c r="G128" s="98">
        <f>'3,19'!G106+'3,15'!G104+'3,14'!G102+'3,12'!G105+'3,11'!G104+'3,09'!G105+'3,06'!G108+'3,05'!G104+'3,03'!G106+'3,01'!G109+'2,21'!G102+'2,20'!G103+'2,17'!G103+'2,11'!G107+'2,10'!G106+'2,09'!G104+'2,08'!G105+'2,07'!G107+'2,06'!G103+'2,05'!G102+'2,04'!G103+'2,03'!G103+'2,02'!G101+'2,01'!G102+'1,17'!G103+'1,14'!G103+'1,13'!G104</f>
        <v>106724.27000000002</v>
      </c>
    </row>
    <row r="129" spans="2:8" ht="30" x14ac:dyDescent="0.25">
      <c r="B129" s="86" t="s">
        <v>81</v>
      </c>
      <c r="C129" s="87"/>
      <c r="D129" s="98">
        <f>'3,19'!D107+'3,15'!D105+'3,14'!D103+'3,12'!D106+'3,11'!D105+'3,09'!D106+'3,06'!D109+'3,05'!D105+'3,03'!D107+'3,01'!D110+'2,21'!D103+'2,20'!D104+'2,17'!D104+'2,11'!D108+'2,10'!D107+'2,09'!D105+'2,08'!D106+'2,07'!D108+'2,06'!D104+'2,05'!D103+'2,04'!D104+'2,03'!D104+'2,02'!D102+'2,01'!D103+'1,17'!D104+'1,14'!D104+'1,13'!D105</f>
        <v>125910.23000000001</v>
      </c>
      <c r="E129" s="98">
        <f>'3,19'!E107+'3,15'!E105+'3,14'!E103+'3,12'!E106+'3,11'!E105+'3,09'!E106+'3,06'!E109+'3,05'!E105+'3,03'!E107+'3,01'!E110+'2,21'!E103+'2,20'!E104+'2,17'!E104+'2,11'!E108+'2,10'!E107+'2,09'!E105+'2,08'!E106+'2,07'!E108+'2,06'!E104+'2,05'!E103+'2,04'!E104+'2,03'!E104+'2,02'!E102+'2,01'!E103+'1,17'!E104+'1,14'!E104+'1,13'!E105</f>
        <v>344918.16</v>
      </c>
      <c r="F129" s="98">
        <f>'3,19'!F107+'3,15'!F105+'3,14'!F103+'3,12'!F106+'3,11'!F105+'3,09'!F106+'3,06'!F109+'3,05'!F105+'3,03'!F107+'3,01'!F110+'2,21'!F103+'2,20'!F104+'2,17'!F104+'2,11'!F108+'2,10'!F107+'2,09'!F105+'2,08'!F106+'2,07'!F108+'2,06'!F104+'2,05'!F103+'2,04'!F104+'2,03'!F104+'2,02'!F102+'2,01'!F103+'1,17'!F104+'1,14'!F104+'1,13'!F105</f>
        <v>344918.16</v>
      </c>
      <c r="G129" s="98">
        <f>'3,19'!G107+'3,15'!G105+'3,14'!G103+'3,12'!G106+'3,11'!G105+'3,09'!G106+'3,06'!G109+'3,05'!G105+'3,03'!G107+'3,01'!G110+'2,21'!G103+'2,20'!G104+'2,17'!G104+'2,11'!G108+'2,10'!G107+'2,09'!G105+'2,08'!G106+'2,07'!G108+'2,06'!G104+'2,05'!G103+'2,04'!G104+'2,03'!G104+'2,02'!G102+'2,01'!G103+'1,17'!G104+'1,14'!G104+'1,13'!G105</f>
        <v>137895.85</v>
      </c>
    </row>
    <row r="130" spans="2:8" x14ac:dyDescent="0.25">
      <c r="B130" s="86" t="s">
        <v>227</v>
      </c>
      <c r="C130" s="87"/>
      <c r="D130" s="98"/>
      <c r="E130" s="98"/>
      <c r="F130" s="98"/>
      <c r="G130" s="98"/>
    </row>
    <row r="131" spans="2:8" ht="18.75" customHeight="1" x14ac:dyDescent="0.25">
      <c r="B131" s="202" t="s">
        <v>90</v>
      </c>
      <c r="C131" s="203"/>
      <c r="D131" s="90">
        <f>SUM(D121:D129)</f>
        <v>10326444.41</v>
      </c>
      <c r="E131" s="90">
        <f>SUM(E121:E129)</f>
        <v>9737101.5099999998</v>
      </c>
      <c r="F131" s="88">
        <f>E131</f>
        <v>9737101.5099999998</v>
      </c>
      <c r="G131" s="90">
        <f>SUM(G121:G129)</f>
        <v>2699433.1100000008</v>
      </c>
    </row>
    <row r="132" spans="2:8" x14ac:dyDescent="0.25">
      <c r="B132" s="202" t="s">
        <v>91</v>
      </c>
      <c r="C132" s="203"/>
      <c r="D132" s="96">
        <f>D131+F143+E45+C166</f>
        <v>99009917.057000011</v>
      </c>
      <c r="E132" s="96">
        <f>E131+G143+F45+D166</f>
        <v>88900083.590999991</v>
      </c>
      <c r="F132" s="96">
        <f>E132</f>
        <v>88900083.590999991</v>
      </c>
      <c r="G132" s="96">
        <f>G45+G131+H143+F166</f>
        <v>22810362.390000001</v>
      </c>
    </row>
    <row r="133" spans="2:8" x14ac:dyDescent="0.25">
      <c r="B133" s="16"/>
      <c r="C133" s="16"/>
      <c r="D133" s="16"/>
      <c r="E133" s="17"/>
      <c r="F133" s="17"/>
      <c r="G133" s="17"/>
      <c r="H133" s="17"/>
    </row>
    <row r="134" spans="2:8" x14ac:dyDescent="0.25">
      <c r="B134" s="204" t="s">
        <v>176</v>
      </c>
      <c r="C134" s="201"/>
      <c r="D134" s="201"/>
      <c r="E134" s="201"/>
      <c r="F134" s="201"/>
    </row>
    <row r="135" spans="2:8" ht="38.25" customHeight="1" x14ac:dyDescent="0.25">
      <c r="B135" s="194" t="s">
        <v>29</v>
      </c>
      <c r="C135" s="194" t="s">
        <v>93</v>
      </c>
      <c r="D135" s="194"/>
      <c r="E135" s="205" t="s">
        <v>94</v>
      </c>
      <c r="F135" s="194" t="s">
        <v>30</v>
      </c>
      <c r="G135" s="194" t="s">
        <v>31</v>
      </c>
      <c r="H135" s="195" t="s">
        <v>95</v>
      </c>
    </row>
    <row r="136" spans="2:8" ht="35.25" customHeight="1" x14ac:dyDescent="0.25">
      <c r="B136" s="194"/>
      <c r="C136" s="91" t="s">
        <v>96</v>
      </c>
      <c r="D136" s="19" t="s">
        <v>97</v>
      </c>
      <c r="E136" s="205"/>
      <c r="F136" s="194"/>
      <c r="G136" s="194"/>
      <c r="H136" s="195"/>
    </row>
    <row r="137" spans="2:8" x14ac:dyDescent="0.25">
      <c r="B137" s="10" t="s">
        <v>98</v>
      </c>
      <c r="C137" s="88">
        <v>1400.08</v>
      </c>
      <c r="D137" s="42">
        <v>1439.26</v>
      </c>
      <c r="E137" s="110">
        <f>'1,13'!E112+'1,14'!E111+'1,17'!E111+'2,01'!E110+'2,02'!E109+'2,03'!E111+'2,04'!E111+'2,05'!E110+'2,06'!E111+'2,07'!E115+'2,08'!E113+'2,09'!E112+'2,10'!E114+'2,11'!E115+'2,17'!E111+'2,20'!E111+'2,21'!E110+'3,01'!E117+'3,03'!E114+'3,05'!E112+'3,06'!E116+'3,09'!E113+'3,11'!E112+'3,12'!E113+'3,14'!E110+'3,15'!E112+'3,19'!E114</f>
        <v>14844.041671692397</v>
      </c>
      <c r="F137" s="88">
        <f>'3,19'!F114+'3,15'!F112+'3,14'!F110+'3,12'!F113+'3,11'!F112+'3,09'!F113+'3,06'!F116+'3,05'!F112+'3,03'!F114+'3,01'!F117+'2,21'!F110+'2,20'!F111+'2,17'!F111+'2,11'!F115+'2,10'!F114+'2,09'!F112+'2,08'!F113+'2,07'!F115+'2,06'!F111+'2,05'!F110+'2,04'!F111+'2,03'!F111+'2,02'!F109+'2,01'!F110+'1,17'!F111+'1,14'!F111+'1,13'!F112</f>
        <v>21039675.217</v>
      </c>
      <c r="G137" s="103">
        <f>'3,19'!G114+'3,15'!G112+'3,14'!G110+'3,12'!G113+'3,11'!G112+'3,09'!G113+'3,06'!G116+'3,05'!G112+'3,03'!G114+'3,01'!G117+'2,21'!G110+'2,20'!G111+'2,17'!G111+'2,11'!G115+'2,10'!G114+'2,09'!G112+'2,08'!G113+'2,07'!G115+'2,06'!G111+'2,05'!G110+'2,04'!G111+'2,03'!G111+'2,02'!G109+'2,01'!G110+'1,17'!G111+'1,14'!G111+'1,13'!G112</f>
        <v>12176304.630000001</v>
      </c>
      <c r="H137" s="108">
        <f>'3,19'!H114+'3,15'!H112+'3,14'!H110+'3,12'!H113+'3,11'!H112+'3,09'!H113+'3,06'!H116+'3,05'!H112+'3,03'!H114+'3,01'!H117+'2,21'!H110+'2,20'!H111+'2,17'!H111+'2,11'!H115+'2,10'!H114+'2,09'!H112+'2,08'!H113+'2,07'!H115+'2,06'!H111+'2,05'!H110+'2,04'!H111+'2,03'!H111+'2,02'!H109+'2,01'!H110+'1,17'!H111+'1,14'!H111+'1,13'!H112</f>
        <v>4345428.59</v>
      </c>
    </row>
    <row r="138" spans="2:8" x14ac:dyDescent="0.25">
      <c r="B138" s="10" t="s">
        <v>147</v>
      </c>
      <c r="C138" s="88">
        <v>22.15</v>
      </c>
      <c r="D138" s="42">
        <v>26.44</v>
      </c>
      <c r="E138" s="110">
        <f>'1,13'!E113+'1,14'!E112+'1,17'!E112+'2,01'!E111+'2,02'!E110+'2,03'!E112+'2,04'!E112+'2,05'!E111+'2,06'!E112+'2,07'!E116+'2,08'!E114+'2,09'!E113+'2,10'!E115+'2,11'!E116+'2,17'!E112+'2,20'!E112+'2,21'!E111+'3,01'!E118+'3,03'!E115+'3,05'!E113+'3,06'!E117+'3,09'!E114+'3,11'!E113+'3,12'!E114+'3,14'!E111+'3,15'!E113+'3,19'!E115</f>
        <v>87220.36</v>
      </c>
      <c r="F138" s="98">
        <f>'3,19'!F115+'3,15'!F113+'3,14'!F111+'3,12'!F114+'3,11'!F113+'3,09'!F114+'3,06'!F117+'3,05'!F113+'3,03'!F115+'3,01'!F118+'2,21'!F111+'2,20'!F112+'2,17'!F112+'2,11'!F116+'2,10'!F115+'2,09'!F113+'2,08'!F114+'2,07'!F116+'2,06'!F112+'2,05'!F111+'2,04'!F112+'2,03'!F112+'2,02'!F110+'2,01'!F111+'1,17'!F112+'1,14'!F112+'1,13'!F113</f>
        <v>10628895.780000001</v>
      </c>
      <c r="G138" s="98">
        <f>'3,19'!G115+'3,15'!G113+'3,14'!G111+'3,12'!G114+'3,11'!G113+'3,09'!G114+'3,06'!G117+'3,05'!G113+'3,03'!G115+'3,01'!G118+'2,21'!G111+'2,20'!G112+'2,17'!G112+'2,11'!G116+'2,10'!G115+'2,09'!G113+'2,08'!G114+'2,07'!G116+'2,06'!G112+'2,05'!G111+'2,04'!G112+'2,03'!G112+'2,02'!G110+'2,01'!G111+'1,17'!G112+'1,14'!G112+'1,13'!G113</f>
        <v>10500235.98</v>
      </c>
      <c r="H138" s="108">
        <f>'3,19'!H115+'3,15'!H113+'3,14'!H111+'3,12'!H114+'3,11'!H113+'3,09'!H114+'3,06'!H117+'3,05'!H113+'3,03'!H115+'3,01'!H118+'2,21'!H111+'2,20'!H112+'2,17'!H112+'2,11'!H116+'2,10'!H115+'2,09'!H113+'2,08'!H114+'2,07'!H116+'2,06'!H112+'2,05'!H111+'2,04'!H112+'2,03'!H112+'2,02'!H110+'2,01'!H111+'1,17'!H112+'1,14'!H112+'1,13'!H113</f>
        <v>4528683.6000000015</v>
      </c>
    </row>
    <row r="139" spans="2:8" x14ac:dyDescent="0.25">
      <c r="B139" s="10" t="s">
        <v>99</v>
      </c>
      <c r="C139" s="88">
        <v>18.43</v>
      </c>
      <c r="D139" s="42">
        <v>19.22</v>
      </c>
      <c r="E139" s="110">
        <f>'1,13'!E114+'1,14'!E113+'1,17'!E113+'2,01'!E112+'2,02'!E111+'2,03'!E113+'2,04'!E113+'2,05'!E112+'2,06'!E113+'2,07'!E117+'2,08'!E115+'2,09'!E114+'2,10'!E116+'2,11'!E117+'2,17'!E113+'2,20'!E113+'2,21'!E112+'3,01'!E119+'3,03'!E116+'3,05'!E114+'3,06'!E118+'3,09'!E115+'3,11'!E114+'3,12'!E115+'3,14'!E112+'3,15'!E114+'3,19'!E116</f>
        <v>147101.09</v>
      </c>
      <c r="F139" s="98">
        <f>'3,19'!F116+'3,15'!F114+'3,14'!F112+'3,12'!F115+'3,11'!F114+'3,09'!F115+'3,06'!F118+'3,05'!F114+'3,03'!F116+'3,01'!F119+'2,21'!F112+'2,20'!F113+'2,17'!F113+'2,11'!F117+'2,10'!F116+'2,09'!F114+'2,08'!F115+'2,07'!F117+'2,06'!F113+'2,05'!F112+'2,04'!F113+'2,03'!F113+'2,02'!F111+'2,01'!F112+'1,17'!F113+'1,14'!F113+'1,13'!F114</f>
        <v>3520900.42</v>
      </c>
      <c r="G139" s="98">
        <f>'3,19'!G116+'3,15'!G114+'3,14'!G112+'3,12'!G115+'3,11'!G114+'3,09'!G115+'3,06'!G118+'3,05'!G114+'3,03'!G116+'3,01'!G119+'2,21'!G112+'2,20'!G113+'2,17'!G113+'2,11'!G117+'2,10'!G116+'2,09'!G114+'2,08'!G115+'2,07'!G117+'2,06'!G113+'2,05'!G112+'2,04'!G113+'2,03'!G113+'2,02'!G111+'2,01'!G112+'1,17'!G113+'1,14'!G113+'1,13'!G114</f>
        <v>3709359.4799999995</v>
      </c>
      <c r="H139" s="108">
        <f>'3,19'!H116+'3,15'!H114+'3,14'!H112+'3,12'!H115+'3,11'!H114+'3,09'!H115+'3,06'!H118+'3,05'!H114+'3,03'!H116+'3,01'!H119+'2,21'!H112+'2,20'!H113+'2,17'!H113+'2,11'!H117+'2,10'!H116+'2,09'!H114+'2,08'!H115+'2,07'!H117+'2,06'!H113+'2,05'!H112+'2,04'!H113+'2,03'!H113+'2,02'!H111+'2,01'!H112+'1,17'!H113+'1,14'!H113+'1,13'!H114</f>
        <v>1709378.1800000002</v>
      </c>
    </row>
    <row r="140" spans="2:8" x14ac:dyDescent="0.25">
      <c r="B140" s="10" t="s">
        <v>100</v>
      </c>
      <c r="C140" s="88">
        <v>12.31</v>
      </c>
      <c r="D140" s="42">
        <v>12.84</v>
      </c>
      <c r="E140" s="110">
        <f>'1,13'!E115+'1,14'!E114+'1,17'!E114+'2,01'!E113+'2,02'!E112+'2,03'!E114+'2,04'!E114+'2,05'!E113+'2,06'!E114+'2,07'!E118+'2,08'!E116+'2,09'!E115+'2,10'!E117+'2,11'!E118+'2,17'!E114+'2,20'!E114+'2,21'!E113+'3,01'!E120+'3,03'!E117+'3,05'!E115+'3,06'!E119+'3,09'!E116+'3,11'!E115+'3,12'!E116+'3,14'!E113+'3,15'!E115+'3,19'!E117</f>
        <v>227763.50999999998</v>
      </c>
      <c r="F140" s="98">
        <f>'3,19'!F117+'3,15'!F115+'3,14'!F113+'3,12'!F116+'3,11'!F115+'3,09'!F116+'3,06'!F119+'3,05'!F115+'3,03'!F117+'3,01'!F120+'2,21'!F113+'2,20'!F114+'2,17'!F114+'2,11'!F118+'2,10'!F117+'2,09'!F115+'2,08'!F116+'2,07'!F118+'2,06'!F114+'2,05'!F113+'2,04'!F114+'2,03'!F114+'2,02'!F112+'2,01'!F113+'1,17'!F114+'1,14'!F114+'1,13'!F115</f>
        <v>2642955.8200000003</v>
      </c>
      <c r="G140" s="98">
        <f>'3,19'!G117+'3,15'!G115+'3,14'!G113+'3,12'!G116+'3,11'!G115+'3,09'!G116+'3,06'!G119+'3,05'!G115+'3,03'!G117+'3,01'!G120+'2,21'!G113+'2,20'!G114+'2,17'!G114+'2,11'!G118+'2,10'!G117+'2,09'!G115+'2,08'!G116+'2,07'!G118+'2,06'!G114+'2,05'!G113+'2,04'!G114+'2,03'!G114+'2,02'!G112+'2,01'!G113+'1,17'!G114+'1,14'!G114+'1,13'!G115</f>
        <v>2731122.1</v>
      </c>
      <c r="H140" s="108">
        <f>'3,19'!H117+'3,15'!H115+'3,14'!H113+'3,12'!H116+'3,11'!H115+'3,09'!H116+'3,06'!H119+'3,05'!H115+'3,03'!H117+'3,01'!H120+'2,21'!H113+'2,20'!H114+'2,17'!H114+'2,11'!H118+'2,10'!H117+'2,09'!H115+'2,08'!H116+'2,07'!H118+'2,06'!H114+'2,05'!H113+'2,04'!H114+'2,03'!H114+'2,02'!H112+'2,01'!H113+'1,17'!H114+'1,14'!H114+'1,13'!H115</f>
        <v>1190872.6500000001</v>
      </c>
    </row>
    <row r="141" spans="2:8" x14ac:dyDescent="0.25">
      <c r="B141" s="10" t="s">
        <v>101</v>
      </c>
      <c r="C141" s="88" t="s">
        <v>145</v>
      </c>
      <c r="D141" s="42" t="s">
        <v>146</v>
      </c>
      <c r="E141" s="110">
        <f>'1,13'!E116+'1,14'!E115+'1,17'!E115+'2,01'!E114+'2,02'!E113+'2,03'!E115+'2,04'!E115+'2,05'!E114+'2,06'!E115+'2,07'!E119+'2,08'!E117+'2,09'!E116+'2,10'!E118+'2,11'!E119+'2,17'!E115+'2,20'!E115+'2,21'!E114+'3,01'!E121+'3,03'!E118+'3,05'!E116+'3,06'!E120+'3,09'!E117+'3,11'!E116+'3,12'!E117+'3,14'!E114+'3,15'!E116+'3,19'!E118</f>
        <v>3114948.66</v>
      </c>
      <c r="F141" s="98">
        <f>'3,19'!F118+'3,15'!F116+'3,14'!F114+'3,12'!F117+'3,11'!F116+'3,09'!F117+'3,06'!F120+'3,05'!F116+'3,03'!F118+'3,01'!F121+'2,21'!F114+'2,20'!F115+'2,17'!F115+'2,11'!F119+'2,10'!F118+'2,09'!F116+'2,08'!F117+'2,07'!F119+'2,06'!F115+'2,05'!F114+'2,04'!F115+'2,03'!F115+'2,02'!F113+'2,01'!F114+'1,17'!F115+'1,14'!F115+'1,13'!F116</f>
        <v>8856023.1800000016</v>
      </c>
      <c r="G141" s="98">
        <f>'3,19'!G118+'3,15'!G116+'3,14'!G114+'3,12'!G117+'3,11'!G116+'3,09'!G117+'3,06'!G120+'3,05'!G116+'3,03'!G118+'3,01'!G121+'2,21'!G114+'2,20'!G115+'2,17'!G115+'2,11'!G119+'2,10'!G118+'2,09'!G116+'2,08'!G117+'2,07'!G119+'2,06'!G115+'2,05'!G114+'2,04'!G115+'2,03'!G115+'2,02'!G113+'2,01'!G114+'1,17'!G115+'1,14'!G115+'1,13'!G116</f>
        <v>9013105.620000001</v>
      </c>
      <c r="H141" s="108">
        <f>'3,19'!H118+'3,15'!H116+'3,14'!H114+'3,12'!H117+'3,11'!H116+'3,09'!H117+'3,06'!H120+'3,05'!H116+'3,03'!H118+'3,01'!H121+'2,21'!H114+'2,20'!H115+'2,17'!H115+'2,11'!H119+'2,10'!H118+'2,09'!H116+'2,08'!H117+'2,07'!H119+'2,06'!H115+'2,05'!H114+'2,04'!H115+'2,03'!H115+'2,02'!H113+'2,01'!H114+'1,17'!H115+'1,14'!H115+'1,13'!H116</f>
        <v>3470720.6799999992</v>
      </c>
    </row>
    <row r="142" spans="2:8" x14ac:dyDescent="0.25">
      <c r="B142" s="10" t="s">
        <v>102</v>
      </c>
      <c r="C142" s="88" t="s">
        <v>245</v>
      </c>
      <c r="D142" s="42" t="s">
        <v>246</v>
      </c>
      <c r="E142" s="110">
        <f>'1,13'!E117+'1,14'!E116+'1,17'!E116+'2,01'!E115+'2,02'!E114+'2,03'!E116+'2,04'!E116+'2,05'!E115+'2,06'!E116+'2,07'!E120+'2,08'!E118+'2,09'!E117+'2,10'!E119+'2,11'!E120+'2,17'!E116+'2,20'!E116+'2,21'!E115+'3,01'!E122+'3,03'!E119+'3,05'!E117+'3,06'!E121+'3,09'!E118+'3,11'!E117+'3,12'!E118+'3,14'!E115+'3,15'!E117+'3,19'!E119</f>
        <v>359410.41192468622</v>
      </c>
      <c r="F142" s="98">
        <f>'3,19'!F119+'3,15'!F117+'3,14'!F115+'3,12'!F118+'3,11'!F117+'3,09'!F118+'3,06'!F121+'3,05'!F117+'3,03'!F119+'3,01'!F122+'2,21'!F115+'2,20'!F116+'2,17'!F116+'2,11'!F120+'2,10'!F119+'2,09'!F117+'2,08'!F118+'2,07'!F120+'2,06'!F116+'2,05'!F115+'2,04'!F116+'2,03'!F116+'2,02'!F114+'2,01'!F115+'1,17'!F116+'1,14'!F116+'1,13'!F117</f>
        <v>887266.45000000007</v>
      </c>
      <c r="G142" s="98">
        <f>'3,19'!G119+'3,15'!G117+'3,14'!G115+'3,12'!G118+'3,11'!G117+'3,09'!G118+'3,06'!G121+'3,05'!G117+'3,03'!G119+'3,01'!G122+'2,21'!G115+'2,20'!G116+'2,17'!G116+'2,11'!G120+'2,10'!G119+'2,09'!G117+'2,08'!G118+'2,07'!G120+'2,06'!G116+'2,05'!G115+'2,04'!G116+'2,03'!G116+'2,02'!G114+'2,01'!G115+'1,17'!G116+'1,14'!G116+'1,13'!G117</f>
        <v>917435.41000000015</v>
      </c>
      <c r="H142" s="108">
        <f>'3,19'!H119+'3,15'!H117+'3,14'!H115+'3,12'!H118+'3,11'!H117+'3,09'!H118+'3,06'!H121+'3,05'!H117+'3,03'!H119+'3,01'!H122+'2,21'!H115+'2,20'!H116+'2,17'!H116+'2,11'!H120+'2,10'!H119+'2,09'!H117+'2,08'!H118+'2,07'!H120+'2,06'!H116+'2,05'!H115+'2,04'!H116+'2,03'!H116+'2,02'!H114+'2,01'!H115+'1,17'!H116+'1,14'!H116+'1,13'!H117</f>
        <v>128876.97</v>
      </c>
    </row>
    <row r="143" spans="2:8" x14ac:dyDescent="0.25">
      <c r="B143" s="11" t="s">
        <v>103</v>
      </c>
      <c r="C143" s="90"/>
      <c r="D143" s="42"/>
      <c r="E143" s="4"/>
      <c r="F143" s="90">
        <f>SUM(F137:F142)</f>
        <v>47575716.867000006</v>
      </c>
      <c r="G143" s="90">
        <f>SUM(G137:G142)</f>
        <v>39047563.219999999</v>
      </c>
      <c r="H143" s="90">
        <f>SUM(H137:H142)-13.63</f>
        <v>15373947.040000001</v>
      </c>
    </row>
    <row r="144" spans="2:8" x14ac:dyDescent="0.25">
      <c r="B144" s="16"/>
      <c r="C144" s="16"/>
      <c r="D144" s="16"/>
      <c r="E144" s="17"/>
      <c r="F144" s="17"/>
      <c r="G144" s="17"/>
      <c r="H144" s="17"/>
    </row>
    <row r="145" spans="2:8" x14ac:dyDescent="0.25">
      <c r="B145" s="16"/>
      <c r="C145" s="16" t="s">
        <v>244</v>
      </c>
      <c r="E145" s="17"/>
      <c r="F145" s="17"/>
      <c r="G145" s="17"/>
      <c r="H145" s="17"/>
    </row>
    <row r="146" spans="2:8" x14ac:dyDescent="0.25">
      <c r="B146" s="92" t="s">
        <v>228</v>
      </c>
      <c r="C146" s="92" t="s">
        <v>229</v>
      </c>
      <c r="D146" s="92"/>
      <c r="E146" s="84" t="s">
        <v>230</v>
      </c>
      <c r="F146" s="17"/>
      <c r="G146" s="17"/>
      <c r="H146" s="17"/>
    </row>
    <row r="147" spans="2:8" x14ac:dyDescent="0.25">
      <c r="B147" s="93" t="s">
        <v>231</v>
      </c>
      <c r="C147" s="199">
        <f>'1,13'!C122:D122+'1,14'!C121:D121+'1,17'!D121+'2,01'!C120:D120+'2,02'!C119:D119+'2,03'!C121:D121+'2,04'!C121:D121+'2,05'!C120:D120+'2,06'!C121:D121+'2,07'!C125:D125+'2,08'!C123:D123+'2,09'!C122:D122+'2,10'!C124:D124+'2,11'!C125:D125+'2,17'!C121:D121+'2,20'!C121:D121+'2,21'!C120:D120+'3,01'!C127:D127+'3,03'!C124:D124+'3,05'!C122:D122+'3,06'!C126:D126+'3,09'!C123:D123+'3,11'!C122:D122+'3,12'!C123:D123+'3,14'!C120:D120+'3,15'!C122:D122+'3,19'!C124:D124</f>
        <v>235</v>
      </c>
      <c r="D147" s="200"/>
      <c r="E147" s="102">
        <v>1</v>
      </c>
      <c r="F147" s="17"/>
      <c r="G147" s="17"/>
      <c r="H147" s="17"/>
    </row>
    <row r="148" spans="2:8" x14ac:dyDescent="0.25">
      <c r="B148" s="93" t="s">
        <v>232</v>
      </c>
      <c r="C148" s="199">
        <f>'1,13'!C123:D123+'1,14'!C122:D122+'1,17'!D122+'2,01'!C121:D121+'2,02'!C120:D120+'2,03'!C122:D122+'2,04'!C122:D122+'2,05'!C121:D121+'2,06'!C122:D122+'2,07'!C126:D126+'2,08'!C124:D124+'2,09'!C123:D123+'2,10'!C125:D125+'2,11'!C126:D126+'2,17'!C122:D122+'2,20'!C122:D122+'2,21'!C121:D121+'3,01'!C128:D128+'3,03'!C125:D125+'3,05'!C123:D123+'3,06'!C127:D127+'3,09'!C124:D124+'3,11'!C123:D123+'3,12'!C124:D124+'3,14'!C121:D121+'3,15'!C123:D123+'3,19'!C125:D125</f>
        <v>322</v>
      </c>
      <c r="D148" s="200"/>
      <c r="E148" s="102">
        <v>1</v>
      </c>
      <c r="F148" s="17"/>
      <c r="G148" s="17"/>
      <c r="H148" s="17"/>
    </row>
    <row r="149" spans="2:8" x14ac:dyDescent="0.25">
      <c r="B149" s="93" t="s">
        <v>233</v>
      </c>
      <c r="C149" s="199">
        <f>'1,13'!C124:D124+'1,14'!C123:D123+'1,17'!D123+'2,01'!C122:D122+'2,02'!C121:D121+'2,03'!C123:D123+'2,04'!C123:D123+'2,05'!C122:D122+'2,06'!C123:D123+'2,07'!C127:D127+'2,08'!C125:D125+'2,09'!C124:D124+'2,10'!C126:D126+'2,11'!C127:D127+'2,17'!C123:D123+'2,20'!C123:D123+'2,21'!C122:D122+'3,01'!C129:D129+'3,03'!C126:D126+'3,05'!C124:D124+'3,06'!C128:D128+'3,09'!C125:D125+'3,11'!C124:D124+'3,12'!C125:D125+'3,14'!C122:D122+'3,15'!C124:D124+'3,19'!C126:D126</f>
        <v>0</v>
      </c>
      <c r="D149" s="200"/>
      <c r="E149" s="102"/>
      <c r="F149" s="17"/>
      <c r="G149" s="17"/>
      <c r="H149" s="17"/>
    </row>
    <row r="150" spans="2:8" x14ac:dyDescent="0.25">
      <c r="B150" s="93" t="s">
        <v>234</v>
      </c>
      <c r="C150" s="199">
        <f>'1,13'!C125:D125+'1,14'!C124:D124+'1,17'!D124+'2,01'!C123:D123+'2,02'!C122:D122+'2,03'!C124:D124+'2,04'!C124:D124+'2,05'!C123:D123+'2,06'!C124:D124+'2,07'!C128:D128+'2,08'!C126:D126+'2,09'!C125:D125+'2,10'!C127:D127+'2,11'!C128:D128+'2,17'!C124:D124+'2,20'!C124:D124+'2,21'!C123:D123+'3,01'!C130:D130+'3,03'!C127:D127+'3,05'!C125:D125+'3,06'!C129:D129+'3,09'!C126:D126+'3,11'!C125:D125+'3,12'!C126:D126+'3,14'!C123:D123+'3,15'!C125:D125+'3,19'!C127:D127</f>
        <v>29</v>
      </c>
      <c r="D150" s="200"/>
      <c r="E150" s="102">
        <v>1</v>
      </c>
      <c r="F150" s="17"/>
      <c r="G150" s="17"/>
      <c r="H150" s="17"/>
    </row>
    <row r="151" spans="2:8" x14ac:dyDescent="0.25">
      <c r="B151" s="93" t="s">
        <v>235</v>
      </c>
      <c r="C151" s="199">
        <f>'1,13'!C126:D126+'1,14'!C125:D125+'1,17'!D125+'2,01'!C124:D124+'2,02'!C123:D123+'2,03'!C125:D125+'2,04'!C125:D125+'2,05'!C124:D124+'2,06'!C125:D125+'2,07'!C129:D129+'2,08'!C127:D127+'2,09'!C126:D126+'2,10'!C128:D128+'2,11'!C129:D129+'2,17'!C125:D125+'2,20'!C125:D125+'2,21'!C124:D124+'3,01'!C131:D131+'3,03'!C128:D128+'3,05'!C126:D126+'3,06'!C130:D130+'3,09'!C127:D127+'3,11'!C126:D126+'3,12'!C127:D127+'3,14'!C124:D124+'3,15'!C126:D126+'3,19'!C128:D128</f>
        <v>17</v>
      </c>
      <c r="D151" s="200"/>
      <c r="E151" s="102">
        <v>1</v>
      </c>
      <c r="F151" s="17"/>
      <c r="G151" s="17"/>
      <c r="H151" s="17"/>
    </row>
    <row r="152" spans="2:8" x14ac:dyDescent="0.25">
      <c r="B152" s="93" t="s">
        <v>236</v>
      </c>
      <c r="C152" s="199">
        <f>'1,13'!C127:D127+'1,14'!C126:D126+'1,17'!D126+'2,01'!C125:D125+'2,02'!C124:D124+'2,03'!C126:D126+'2,04'!C126:D126+'2,05'!C125:D125+'2,06'!C126:D126+'2,07'!C130:D130+'2,08'!C128:D128+'2,09'!C127:D127+'2,10'!C129:D129+'2,11'!C130:D130+'2,17'!C126:D126+'2,20'!C126:D126+'2,21'!C125:D125+'3,01'!C132:D132+'3,03'!C129:D129+'3,05'!C127:D127+'3,06'!C131:D131+'3,09'!C128:D128+'3,11'!C127:D127+'3,12'!C128:D128+'3,14'!C125:D125+'3,15'!C127:D127+'3,19'!C129:D129</f>
        <v>0</v>
      </c>
      <c r="D152" s="200"/>
      <c r="E152" s="102"/>
      <c r="F152" s="17"/>
      <c r="G152" s="17"/>
      <c r="H152" s="17"/>
    </row>
    <row r="153" spans="2:8" x14ac:dyDescent="0.25">
      <c r="B153" s="93" t="s">
        <v>70</v>
      </c>
      <c r="C153" s="199">
        <v>162</v>
      </c>
      <c r="D153" s="200"/>
      <c r="E153" s="102"/>
      <c r="F153" s="17"/>
      <c r="G153" s="17"/>
      <c r="H153" s="17"/>
    </row>
    <row r="154" spans="2:8" x14ac:dyDescent="0.25">
      <c r="B154" s="93" t="s">
        <v>237</v>
      </c>
      <c r="C154" s="199">
        <f>'1,13'!C129:D129+'1,14'!C128:D128+'1,17'!D128+'2,01'!C127:D127+'2,02'!C126:D126+'2,03'!C128:D128+'2,04'!C128:D128+'2,05'!C127:D127+'2,06'!C128:D128+'2,07'!C132:D132+'2,08'!C130:D130+'2,09'!C129:D129+'2,10'!C131:D131+'2,11'!C132:D132+'2,17'!C128:D128+'2,20'!C128:D128+'2,21'!C127:D127+'3,01'!C134:D134+'3,03'!C131:D131+'3,05'!C129:D129+'3,06'!C133:D133+'3,09'!C130:D130+'3,11'!C129:D129+'3,12'!C130:D130+'3,14'!C127:D127+'3,15'!C129:D129+'3,19'!C131:D131</f>
        <v>0</v>
      </c>
      <c r="D154" s="200"/>
      <c r="E154" s="102"/>
      <c r="F154" s="17"/>
      <c r="G154" s="17"/>
      <c r="H154" s="17"/>
    </row>
    <row r="155" spans="2:8" x14ac:dyDescent="0.25">
      <c r="B155" s="93" t="s">
        <v>238</v>
      </c>
      <c r="C155" s="199">
        <f>'1,13'!C130:D130+'1,14'!C129:D129+'1,17'!D129+'2,01'!C128:D128+'2,02'!C127:D127+'2,03'!C129:D129+'2,04'!C129:D129+'2,05'!C128:D128+'2,06'!C129:D129+'2,07'!C133:D133+'2,08'!C131:D131+'2,09'!C130:D130+'2,10'!C132:D132+'2,11'!C133:D133+'2,17'!C129:D129+'2,20'!C129:D129+'2,21'!C128:D128+'3,01'!C135:D135+'3,03'!C132:D132+'3,05'!C130:D130+'3,06'!C134:D134+'3,09'!C131:D131+'3,11'!C130:D130+'3,12'!C131:D131+'3,14'!C128:D128+'3,15'!C130:D130+'3,19'!C132:D132</f>
        <v>39</v>
      </c>
      <c r="D155" s="200"/>
      <c r="E155" s="102">
        <v>1</v>
      </c>
      <c r="F155" s="17"/>
      <c r="G155" s="17"/>
      <c r="H155" s="17"/>
    </row>
    <row r="156" spans="2:8" x14ac:dyDescent="0.25">
      <c r="B156" s="93" t="s">
        <v>239</v>
      </c>
      <c r="C156" s="199">
        <f>'1,13'!C131:D131+'1,14'!C130:D130+'1,17'!D130+'2,01'!C129:D129+'2,02'!C128:D128+'2,03'!C130:D130+'2,04'!C130:D130+'2,05'!C129:D129+'2,06'!C130:D130+'2,07'!C134:D134+'2,08'!C132:D132+'2,09'!C131:D131+'2,10'!C133:D133+'2,11'!C134:D134+'2,17'!C130:D130+'2,20'!C130:D130+'2,21'!C129:D129+'3,01'!C136:D136+'3,03'!C133:D133+'3,05'!C131:D131+'3,06'!C135:D135+'3,09'!C132:D132+'3,11'!C131:D131+'3,12'!C132:D132+'3,14'!C129:D129+'3,15'!C131:D131+'3,19'!C133:D133</f>
        <v>0</v>
      </c>
      <c r="D156" s="200"/>
      <c r="E156" s="102"/>
      <c r="F156" s="17"/>
      <c r="G156" s="17"/>
      <c r="H156" s="17"/>
    </row>
    <row r="157" spans="2:8" x14ac:dyDescent="0.25">
      <c r="B157" s="93" t="s">
        <v>240</v>
      </c>
      <c r="C157" s="199">
        <f>'1,13'!C132:D132+'1,14'!C131:D131+'1,17'!D131+'2,01'!C130:D130+'2,02'!C129:D129+'2,03'!C131:D131+'2,04'!C131:D131+'2,05'!C130:D130+'2,06'!C131:D131+'2,07'!C135:D135+'2,08'!C133:D133+'2,09'!C132:D132+'2,10'!C134:D134+'2,11'!C135:D135+'2,17'!C131:D131+'2,20'!C131:D131+'2,21'!C130:D130+'3,01'!C137:D137+'3,03'!C134:D134+'3,05'!C132:D132+'3,06'!C136:D136+'3,09'!C133:D133+'3,11'!C132:D132+'3,12'!C133:D133+'3,14'!C130:D130+'3,15'!C132:D132+'3,19'!C134:D134</f>
        <v>0</v>
      </c>
      <c r="D157" s="200"/>
      <c r="E157" s="102"/>
      <c r="F157" s="17"/>
      <c r="G157" s="17"/>
      <c r="H157" s="17"/>
    </row>
    <row r="158" spans="2:8" x14ac:dyDescent="0.25">
      <c r="B158" s="93" t="s">
        <v>241</v>
      </c>
      <c r="C158" s="199">
        <f>'1,13'!C133:D133+'1,14'!C132:D132+'1,17'!D132+'2,01'!C131:D131+'2,02'!C130:D130+'2,03'!C132:D132+'2,04'!C132:D132+'2,05'!C131:D131+'2,06'!C132:D132+'2,07'!C136:D136+'2,08'!C134:D134+'2,09'!C133:D133+'2,10'!C135:D135+'2,11'!C136:D136+'2,17'!C132:D132+'2,20'!C132:D132+'2,21'!C131:D131+'3,01'!C138:D138+'3,03'!C135:D135+'3,05'!C133:D133+'3,06'!C137:D137+'3,09'!C134:D134+'3,11'!C133:D133+'3,12'!C134:D134+'3,14'!C131:D131+'3,15'!C133:D133+'3,19'!C135:D135</f>
        <v>0</v>
      </c>
      <c r="D158" s="200"/>
      <c r="E158" s="102"/>
      <c r="F158" s="17"/>
      <c r="G158" s="17"/>
      <c r="H158" s="17"/>
    </row>
    <row r="159" spans="2:8" x14ac:dyDescent="0.25">
      <c r="B159" s="93" t="s">
        <v>242</v>
      </c>
      <c r="C159" s="199">
        <f>'1,13'!C134:D134+'1,14'!C133:D133+'1,17'!D133+'2,01'!C132:D132+'2,02'!C131:D131+'2,03'!C133:D133+'2,04'!C133:D133+'2,05'!C132:D132+'2,06'!C133:D133+'2,07'!C137:D137+'2,08'!C135:D135+'2,09'!C134:D134+'2,10'!C136:D136+'2,11'!C137:D137+'2,17'!C133:D133+'2,20'!C133:D133+'2,21'!C132:D132+'3,01'!C139:D139+'3,03'!C136:D136+'3,05'!C134:D134+'3,06'!C138:D138+'3,09'!C135:D135+'3,11'!C134:D134+'3,12'!C135:D135+'3,14'!C132:D132+'3,15'!C134:D134+'3,19'!C136:D136</f>
        <v>0</v>
      </c>
      <c r="D159" s="200"/>
      <c r="E159" s="102"/>
      <c r="F159" s="17"/>
      <c r="G159" s="17"/>
      <c r="H159" s="17"/>
    </row>
    <row r="160" spans="2:8" x14ac:dyDescent="0.25">
      <c r="B160" s="93" t="s">
        <v>243</v>
      </c>
      <c r="C160" s="199">
        <f>'1,13'!C135:D135+'1,14'!C134:D134+'1,17'!D134+'2,01'!C133:D133+'2,02'!C132:D132+'2,03'!C134:D134+'2,04'!C134:D134+'2,05'!C133:D133+'2,06'!C134:D134+'2,07'!C138:D138+'2,08'!C136:D136+'2,09'!C135:D135+'2,10'!C137:D137+'2,11'!C138:D138+'2,17'!C134:D134+'2,20'!C134:D134+'2,21'!C133:D133+'3,01'!C140:D140+'3,03'!C137:D137+'3,05'!C135:D135+'3,06'!C139:D139+'3,09'!C136:D136+'3,11'!C135:D135+'3,12'!C136:D136+'3,14'!C133:D133+'3,15'!C135:D135+'3,19'!C137:D137</f>
        <v>0</v>
      </c>
      <c r="D160" s="200"/>
      <c r="E160" s="102"/>
      <c r="F160" s="17"/>
      <c r="G160" s="17"/>
      <c r="H160" s="17"/>
    </row>
    <row r="161" spans="2:8" x14ac:dyDescent="0.25">
      <c r="B161" s="92" t="s">
        <v>103</v>
      </c>
      <c r="C161" s="199">
        <v>804</v>
      </c>
      <c r="D161" s="200"/>
      <c r="E161" s="102">
        <v>1</v>
      </c>
      <c r="F161" s="17"/>
      <c r="G161" s="17"/>
      <c r="H161" s="17"/>
    </row>
    <row r="162" spans="2:8" x14ac:dyDescent="0.25">
      <c r="B162" s="12"/>
      <c r="C162" s="12"/>
      <c r="D162" s="9"/>
      <c r="E162" s="9"/>
      <c r="F162" s="9"/>
      <c r="G162" s="9"/>
    </row>
    <row r="163" spans="2:8" ht="44.25" customHeight="1" x14ac:dyDescent="0.25">
      <c r="B163" s="33"/>
      <c r="C163" s="90" t="s">
        <v>30</v>
      </c>
      <c r="D163" s="90" t="s">
        <v>31</v>
      </c>
      <c r="E163" s="89" t="s">
        <v>104</v>
      </c>
      <c r="F163" s="89" t="s">
        <v>32</v>
      </c>
    </row>
    <row r="164" spans="2:8" x14ac:dyDescent="0.25">
      <c r="B164" s="32" t="s">
        <v>105</v>
      </c>
      <c r="C164" s="88">
        <f>'3,19'!C141+'3,15'!C139+'3,14'!C137+'3,12'!C140+'3,11'!C139+'3,09'!C140+'3,06'!C143+'3,05'!C139+'3,03'!C141+'3,01'!C144+'2,21'!C137+'2,20'!C138+'2,17'!C138+'2,11'!C142+'2,10'!C141+'2,09'!C139+'2,08'!C140+'2,07'!C142+'2,06'!C138+'2,05'!C137+'2,04'!C138+'2,03'!C138+'2,02'!C136+'2,01'!C137+'1,17'!C138+'1,14'!C138+'1,13'!C139</f>
        <v>5154348.7</v>
      </c>
      <c r="D164" s="104">
        <f>'3,19'!D141+'3,15'!D139+'3,14'!D137+'3,12'!D140+'3,11'!D139+'3,09'!D140+'3,06'!D143+'3,05'!D139+'3,03'!D141+'3,01'!D144+'2,21'!D137+'2,20'!D138+'2,17'!D138+'2,11'!D142+'2,10'!D141+'2,09'!D139+'2,08'!D140+'2,07'!D142+'2,06'!D138+'2,05'!D137+'2,04'!D138+'2,03'!D138+'2,02'!D136+'2,01'!D137+'1,17'!D138+'1,14'!D138+'1,13'!D139</f>
        <v>4998920.6909999987</v>
      </c>
      <c r="E164" s="104"/>
      <c r="F164" s="98">
        <f>'3,19'!F141+'3,15'!F139+'3,14'!F137+'3,12'!F140+'3,11'!F139+'3,09'!F140+'3,06'!F143+'3,05'!F139+'3,03'!F141+'3,01'!F144+'2,21'!F137+'2,20'!F138+'2,17'!F138+'2,11'!F142+'2,10'!F141+'2,09'!F139+'2,08'!F140+'2,07'!F142+'2,06'!F138+'2,05'!F137+'2,04'!F138+'2,03'!F138+'2,02'!F136+'2,01'!F137+'1,17'!F138+'1,14'!F138+'1,13'!F139</f>
        <v>1171503.1700000002</v>
      </c>
    </row>
    <row r="165" spans="2:8" x14ac:dyDescent="0.25">
      <c r="B165" s="32" t="s">
        <v>106</v>
      </c>
      <c r="C165" s="103">
        <f>'3,19'!C142+'3,15'!C140+'3,14'!C138+'3,12'!C141+'3,11'!C140+'3,09'!C141+'3,06'!C144+'3,05'!C140+'3,03'!C142+'3,01'!C145+'2,21'!C138+'2,20'!C139+'2,17'!C139+'2,11'!C143+'2,10'!C142+'2,09'!C140+'2,08'!C141+'2,07'!C143+'2,06'!C139+'2,05'!C138+'2,04'!C139+'2,03'!C139+'2,02'!C137+'2,01'!C138+'1,17'!C139+'1,14'!C139+'1,13'!C140</f>
        <v>203679.37000000002</v>
      </c>
      <c r="D165" s="103">
        <f>'3,19'!D142+'3,15'!D140+'3,14'!D138+'3,12'!D141+'3,11'!D140+'3,09'!D141+'3,06'!D144+'3,05'!D140+'3,03'!D142+'3,01'!D145+'2,21'!D138+'2,20'!D139+'2,17'!D139+'2,11'!D143+'2,10'!D142+'2,09'!D140+'2,08'!D141+'2,07'!D143+'2,06'!D139+'2,05'!D138+'2,04'!D139+'2,03'!D139+'2,02'!D137+'2,01'!D138+'1,17'!D139+'1,14'!D139+'1,13'!D140</f>
        <v>284854.74000000005</v>
      </c>
      <c r="E165" s="103"/>
      <c r="F165" s="98">
        <f>'3,19'!F142+'3,15'!F140+'3,14'!F138+'3,12'!F141+'3,11'!F140+'3,09'!F141+'3,06'!F144+'3,05'!F140+'3,03'!F142+'3,01'!F145+'2,21'!F138+'2,20'!F139+'2,17'!F139+'2,11'!F143+'2,10'!F142+'2,09'!F140+'2,08'!F141+'2,07'!F143+'2,06'!F139+'2,05'!F138+'2,04'!F139+'2,03'!F139+'2,02'!F137+'2,01'!F138+'1,17'!F139+'1,14'!F139+'1,13'!F140</f>
        <v>261866.47999999995</v>
      </c>
    </row>
    <row r="166" spans="2:8" ht="28.5" x14ac:dyDescent="0.25">
      <c r="B166" s="33" t="s">
        <v>178</v>
      </c>
      <c r="C166" s="90">
        <f>SUM(C164:C165)</f>
        <v>5358028.07</v>
      </c>
      <c r="D166" s="90">
        <f>SUM(D164:D165)</f>
        <v>5283775.4309999989</v>
      </c>
      <c r="E166" s="90"/>
      <c r="F166" s="90">
        <f>SUM(F164:F165)</f>
        <v>1433369.6500000001</v>
      </c>
    </row>
    <row r="168" spans="2:8" x14ac:dyDescent="0.25">
      <c r="B168" s="177" t="s">
        <v>108</v>
      </c>
      <c r="C168" s="178"/>
      <c r="D168" s="179"/>
      <c r="E168" s="196">
        <f>G132</f>
        <v>22810362.390000001</v>
      </c>
      <c r="F168" s="197"/>
    </row>
    <row r="170" spans="2:8" x14ac:dyDescent="0.25">
      <c r="B170" s="198" t="s">
        <v>109</v>
      </c>
      <c r="C170" s="198"/>
      <c r="D170" s="198"/>
      <c r="E170" s="256">
        <v>8017515.3099999996</v>
      </c>
      <c r="F170" s="256"/>
    </row>
    <row r="171" spans="2:8" x14ac:dyDescent="0.25">
      <c r="B171" s="192" t="s">
        <v>110</v>
      </c>
      <c r="C171" s="192"/>
      <c r="D171" s="192"/>
      <c r="E171" s="193">
        <v>2125737</v>
      </c>
      <c r="F171" s="193"/>
    </row>
    <row r="172" spans="2:8" x14ac:dyDescent="0.25">
      <c r="B172" s="192" t="s">
        <v>111</v>
      </c>
      <c r="C172" s="192"/>
      <c r="D172" s="192"/>
      <c r="E172" s="193">
        <v>928463</v>
      </c>
      <c r="F172" s="193"/>
    </row>
    <row r="173" spans="2:8" x14ac:dyDescent="0.25">
      <c r="B173" s="192" t="s">
        <v>112</v>
      </c>
      <c r="C173" s="192"/>
      <c r="D173" s="192"/>
      <c r="E173" s="193">
        <v>2320000</v>
      </c>
      <c r="F173" s="193"/>
    </row>
    <row r="174" spans="2:8" x14ac:dyDescent="0.25">
      <c r="B174" s="192" t="s">
        <v>167</v>
      </c>
      <c r="C174" s="192"/>
      <c r="D174" s="192"/>
      <c r="E174" s="193">
        <v>2471958</v>
      </c>
      <c r="F174" s="193"/>
    </row>
    <row r="176" spans="2:8" x14ac:dyDescent="0.25">
      <c r="B176" s="177" t="s">
        <v>114</v>
      </c>
      <c r="C176" s="178"/>
      <c r="D176" s="179"/>
      <c r="E176" s="193">
        <v>13529734.359999999</v>
      </c>
      <c r="F176" s="193"/>
    </row>
    <row r="178" spans="2:8" hidden="1" x14ac:dyDescent="0.25">
      <c r="B178" s="181" t="s">
        <v>123</v>
      </c>
      <c r="C178" s="183"/>
      <c r="D178" s="88" t="s">
        <v>124</v>
      </c>
      <c r="E178" s="176" t="s">
        <v>122</v>
      </c>
      <c r="F178" s="176"/>
    </row>
    <row r="179" spans="2:8" hidden="1" x14ac:dyDescent="0.25">
      <c r="B179" s="181" t="s">
        <v>125</v>
      </c>
      <c r="C179" s="183"/>
      <c r="D179" s="88" t="s">
        <v>126</v>
      </c>
      <c r="E179" s="176" t="s">
        <v>122</v>
      </c>
      <c r="F179" s="176"/>
    </row>
    <row r="180" spans="2:8" ht="30" hidden="1" customHeight="1" x14ac:dyDescent="0.25">
      <c r="B180" s="174" t="s">
        <v>127</v>
      </c>
      <c r="C180" s="175"/>
      <c r="D180" s="88" t="s">
        <v>128</v>
      </c>
      <c r="E180" s="176" t="s">
        <v>122</v>
      </c>
      <c r="F180" s="176"/>
    </row>
    <row r="181" spans="2:8" ht="30" hidden="1" customHeight="1" x14ac:dyDescent="0.25">
      <c r="B181" s="174" t="s">
        <v>129</v>
      </c>
      <c r="C181" s="175"/>
      <c r="D181" s="88" t="s">
        <v>130</v>
      </c>
      <c r="E181" s="176"/>
      <c r="F181" s="176"/>
    </row>
    <row r="182" spans="2:8" ht="30" hidden="1" x14ac:dyDescent="0.25">
      <c r="B182" s="174" t="s">
        <v>131</v>
      </c>
      <c r="C182" s="175"/>
      <c r="D182" s="24" t="s">
        <v>132</v>
      </c>
      <c r="E182" s="176" t="s">
        <v>133</v>
      </c>
      <c r="F182" s="176"/>
    </row>
    <row r="183" spans="2:8" hidden="1" x14ac:dyDescent="0.25">
      <c r="B183" s="181" t="s">
        <v>134</v>
      </c>
      <c r="C183" s="183"/>
      <c r="D183" s="10" t="s">
        <v>135</v>
      </c>
      <c r="E183" s="176"/>
      <c r="F183" s="176"/>
    </row>
    <row r="184" spans="2:8" ht="30" hidden="1" customHeight="1" x14ac:dyDescent="0.25">
      <c r="B184" s="174" t="s">
        <v>136</v>
      </c>
      <c r="C184" s="175"/>
      <c r="D184" s="10" t="s">
        <v>137</v>
      </c>
      <c r="E184" s="176"/>
      <c r="F184" s="176"/>
    </row>
    <row r="185" spans="2:8" ht="30" hidden="1" customHeight="1" x14ac:dyDescent="0.25">
      <c r="B185" s="174" t="s">
        <v>138</v>
      </c>
      <c r="C185" s="175"/>
      <c r="D185" s="88" t="s">
        <v>139</v>
      </c>
      <c r="E185" s="176"/>
      <c r="F185" s="176"/>
    </row>
    <row r="186" spans="2:8" x14ac:dyDescent="0.25">
      <c r="B186" s="177" t="s">
        <v>74</v>
      </c>
      <c r="C186" s="178"/>
      <c r="D186" s="179"/>
      <c r="E186" s="180">
        <f>'3,19'!E163:F163+'3,15'!E161:F161+'3,14'!E159:F159+'3,12'!E162:F162+'3,11'!E161:F161+'3,09'!E162:F162+'3,06'!E165:F165+'3,05'!E161:F161+'3,03'!E163:F163+'3,01'!E166:F166+'2,21'!E159:F159+'2,20'!E160:F160+'2,17'!E160:F160+'2,11'!E164:F164+'2,10'!E163:F163+'2,09'!E161:F161+'2,08'!E162:F162+'2,07'!E164:F164+'2,06'!E160:F160+'2,05'!E159:F159+'2,04'!E160:F160+'2,03'!E160:F160+'2,02'!E158:F158+'2,01'!E159:F159+'1,17'!E160:F160+'1,14'!E160:F160+'1,13'!E161:F161</f>
        <v>38160</v>
      </c>
      <c r="F186" s="180"/>
      <c r="G186" s="25"/>
      <c r="H186" s="25"/>
    </row>
    <row r="187" spans="2:8" x14ac:dyDescent="0.25">
      <c r="B187" s="181" t="s">
        <v>75</v>
      </c>
      <c r="C187" s="182"/>
      <c r="D187" s="183"/>
      <c r="E187" s="180"/>
      <c r="F187" s="180"/>
      <c r="G187" s="26"/>
      <c r="H187" s="26"/>
    </row>
    <row r="188" spans="2:8" x14ac:dyDescent="0.25">
      <c r="B188" s="181" t="s">
        <v>76</v>
      </c>
      <c r="C188" s="182"/>
      <c r="D188" s="183"/>
      <c r="E188" s="180">
        <f>'3,19'!E165:F165+'3,15'!E163:F163+'3,14'!E161:F161+'3,12'!E164:F164+'3,11'!E163:F163+'3,09'!E164:F164+'3,06'!E167:F167+'3,05'!E163:F163+'3,03'!E165:F165+'3,01'!E168:F168+'2,21'!E161:F161+'2,20'!E162:F162+'2,17'!E162:F162+'2,11'!E166:F166+'2,10'!E165:F165+'2,09'!E163:F163+'2,08'!E164:F164+'2,07'!E166:F166+'2,06'!E162:F162+'2,05'!E161:F161+'2,04'!E162:F162+'2,03'!E162:F162+'2,02'!E160:F160+'2,01'!E161:F161+'1,17'!E162:F162+'1,14'!E162:F162+'1,13'!E163:F163</f>
        <v>10560</v>
      </c>
      <c r="F188" s="180"/>
      <c r="G188" s="27"/>
      <c r="H188" s="27"/>
    </row>
    <row r="189" spans="2:8" x14ac:dyDescent="0.25">
      <c r="B189" s="181" t="s">
        <v>77</v>
      </c>
      <c r="C189" s="182"/>
      <c r="D189" s="183"/>
      <c r="E189" s="180"/>
      <c r="F189" s="180"/>
      <c r="G189" s="27"/>
      <c r="H189" s="27"/>
    </row>
    <row r="190" spans="2:8" x14ac:dyDescent="0.25">
      <c r="B190" s="177" t="s">
        <v>78</v>
      </c>
      <c r="C190" s="178"/>
      <c r="D190" s="179"/>
      <c r="E190" s="180"/>
      <c r="F190" s="180"/>
      <c r="G190" s="25"/>
      <c r="H190" s="25"/>
    </row>
    <row r="191" spans="2:8" x14ac:dyDescent="0.25">
      <c r="B191" s="181" t="s">
        <v>79</v>
      </c>
      <c r="C191" s="182"/>
      <c r="D191" s="183"/>
      <c r="E191" s="184">
        <v>64800</v>
      </c>
      <c r="F191" s="184"/>
      <c r="G191" s="27"/>
      <c r="H191" s="27"/>
    </row>
    <row r="192" spans="2:8" x14ac:dyDescent="0.25">
      <c r="B192" s="177" t="s">
        <v>80</v>
      </c>
      <c r="C192" s="178"/>
      <c r="D192" s="179"/>
      <c r="E192" s="184"/>
      <c r="F192" s="184"/>
      <c r="G192" s="27"/>
      <c r="H192" s="27"/>
    </row>
    <row r="193" spans="2:8" x14ac:dyDescent="0.25">
      <c r="B193" s="16"/>
      <c r="C193" s="16"/>
      <c r="D193" s="16"/>
      <c r="E193" s="17"/>
      <c r="F193" s="17"/>
      <c r="G193" s="17"/>
      <c r="H193" s="17"/>
    </row>
    <row r="194" spans="2:8" ht="36" customHeight="1" x14ac:dyDescent="0.25">
      <c r="B194" s="185" t="s">
        <v>115</v>
      </c>
      <c r="C194" s="186"/>
      <c r="D194" s="186"/>
      <c r="E194" s="186"/>
      <c r="F194" s="21" t="s">
        <v>116</v>
      </c>
    </row>
    <row r="195" spans="2:8" ht="14.45" customHeight="1" x14ac:dyDescent="0.25">
      <c r="B195" s="187" t="s">
        <v>117</v>
      </c>
      <c r="C195" s="188" t="s">
        <v>118</v>
      </c>
      <c r="D195" s="190" t="s">
        <v>119</v>
      </c>
      <c r="E195" s="191"/>
      <c r="F195" s="4"/>
    </row>
    <row r="196" spans="2:8" x14ac:dyDescent="0.25">
      <c r="B196" s="187"/>
      <c r="C196" s="189"/>
      <c r="D196" s="83" t="s">
        <v>120</v>
      </c>
      <c r="E196" s="83" t="s">
        <v>121</v>
      </c>
      <c r="F196" s="4"/>
    </row>
    <row r="197" spans="2:8" x14ac:dyDescent="0.25">
      <c r="B197" s="35"/>
      <c r="C197" s="34"/>
      <c r="D197" s="4"/>
      <c r="E197" s="4"/>
      <c r="F197" s="4"/>
    </row>
    <row r="198" spans="2:8" x14ac:dyDescent="0.25">
      <c r="B198" s="35"/>
      <c r="C198" s="35"/>
      <c r="D198" s="4"/>
      <c r="E198" s="4"/>
      <c r="F198" s="4"/>
    </row>
    <row r="199" spans="2:8" x14ac:dyDescent="0.25">
      <c r="B199" s="120"/>
      <c r="C199" s="120"/>
      <c r="D199" s="121"/>
      <c r="E199" s="121"/>
      <c r="F199" s="121"/>
    </row>
    <row r="200" spans="2:8" x14ac:dyDescent="0.25">
      <c r="B200" s="120" t="s">
        <v>247</v>
      </c>
      <c r="C200" s="120"/>
      <c r="D200" s="121" t="s">
        <v>248</v>
      </c>
      <c r="E200" s="121"/>
      <c r="F200" s="121"/>
    </row>
    <row r="201" spans="2:8" x14ac:dyDescent="0.25">
      <c r="B201" s="120"/>
      <c r="C201" s="120"/>
      <c r="D201" s="121"/>
      <c r="E201" s="121"/>
      <c r="F201" s="121"/>
    </row>
  </sheetData>
  <mergeCells count="198">
    <mergeCell ref="B185:C185"/>
    <mergeCell ref="E185:F185"/>
    <mergeCell ref="B186:D186"/>
    <mergeCell ref="E186:F186"/>
    <mergeCell ref="B187:D187"/>
    <mergeCell ref="E187:F187"/>
    <mergeCell ref="B182:C182"/>
    <mergeCell ref="B191:D191"/>
    <mergeCell ref="E191:F191"/>
    <mergeCell ref="E182:F182"/>
    <mergeCell ref="B183:C183"/>
    <mergeCell ref="E183:F183"/>
    <mergeCell ref="B184:C184"/>
    <mergeCell ref="E184:F184"/>
    <mergeCell ref="B192:D192"/>
    <mergeCell ref="E192:F192"/>
    <mergeCell ref="B194:E194"/>
    <mergeCell ref="B195:B196"/>
    <mergeCell ref="C195:C196"/>
    <mergeCell ref="D195:E195"/>
    <mergeCell ref="B188:D188"/>
    <mergeCell ref="E188:F188"/>
    <mergeCell ref="B189:D189"/>
    <mergeCell ref="E189:F189"/>
    <mergeCell ref="B190:D190"/>
    <mergeCell ref="E190:F190"/>
    <mergeCell ref="B179:C179"/>
    <mergeCell ref="E179:F179"/>
    <mergeCell ref="B180:C180"/>
    <mergeCell ref="E180:F180"/>
    <mergeCell ref="B181:C181"/>
    <mergeCell ref="E181:F181"/>
    <mergeCell ref="B174:D174"/>
    <mergeCell ref="E174:F174"/>
    <mergeCell ref="B176:D176"/>
    <mergeCell ref="E176:F176"/>
    <mergeCell ref="B178:C178"/>
    <mergeCell ref="E178:F178"/>
    <mergeCell ref="B171:D171"/>
    <mergeCell ref="E171:F171"/>
    <mergeCell ref="B172:D172"/>
    <mergeCell ref="E172:F172"/>
    <mergeCell ref="B173:D173"/>
    <mergeCell ref="E173:F173"/>
    <mergeCell ref="G135:G136"/>
    <mergeCell ref="H135:H136"/>
    <mergeCell ref="B168:D168"/>
    <mergeCell ref="E168:F168"/>
    <mergeCell ref="B170:D170"/>
    <mergeCell ref="E170:F170"/>
    <mergeCell ref="C147:D147"/>
    <mergeCell ref="C148:D148"/>
    <mergeCell ref="C149:D149"/>
    <mergeCell ref="C150:D150"/>
    <mergeCell ref="C157:D157"/>
    <mergeCell ref="C158:D158"/>
    <mergeCell ref="C159:D159"/>
    <mergeCell ref="C160:D160"/>
    <mergeCell ref="C161:D161"/>
    <mergeCell ref="C151:D151"/>
    <mergeCell ref="C152:D152"/>
    <mergeCell ref="C153:D153"/>
    <mergeCell ref="C155:D155"/>
    <mergeCell ref="C156:D156"/>
    <mergeCell ref="B127:C127"/>
    <mergeCell ref="B128:C128"/>
    <mergeCell ref="B131:C131"/>
    <mergeCell ref="B132:C132"/>
    <mergeCell ref="B134:F134"/>
    <mergeCell ref="B135:B136"/>
    <mergeCell ref="C135:D135"/>
    <mergeCell ref="E135:E136"/>
    <mergeCell ref="F135:F136"/>
    <mergeCell ref="B121:C121"/>
    <mergeCell ref="B122:C122"/>
    <mergeCell ref="B123:C123"/>
    <mergeCell ref="B124:C124"/>
    <mergeCell ref="B125:C125"/>
    <mergeCell ref="B126:C126"/>
    <mergeCell ref="B119:G119"/>
    <mergeCell ref="B120:C120"/>
    <mergeCell ref="C154:D154"/>
    <mergeCell ref="B113:C113"/>
    <mergeCell ref="B114:C114"/>
    <mergeCell ref="B115:C115"/>
    <mergeCell ref="B116:C116"/>
    <mergeCell ref="B117:C117"/>
    <mergeCell ref="B92:C92"/>
    <mergeCell ref="B93:C93"/>
    <mergeCell ref="B94:C94"/>
    <mergeCell ref="B95:C95"/>
    <mergeCell ref="B96:C96"/>
    <mergeCell ref="B97:C97"/>
    <mergeCell ref="B107:C107"/>
    <mergeCell ref="B108:C108"/>
    <mergeCell ref="B109:C109"/>
    <mergeCell ref="B110:C110"/>
    <mergeCell ref="B98:C98"/>
    <mergeCell ref="B99:C99"/>
    <mergeCell ref="B111:C111"/>
    <mergeCell ref="B112:C112"/>
    <mergeCell ref="B100:C100"/>
    <mergeCell ref="B101:C101"/>
    <mergeCell ref="B102:C102"/>
    <mergeCell ref="B103:C103"/>
    <mergeCell ref="B104:C104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57:C57"/>
    <mergeCell ref="B58:C58"/>
    <mergeCell ref="B59:C59"/>
    <mergeCell ref="B60:C60"/>
    <mergeCell ref="B61:C61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52:C52"/>
    <mergeCell ref="B53:C53"/>
    <mergeCell ref="B54:C54"/>
    <mergeCell ref="B55:C55"/>
    <mergeCell ref="B56:C56"/>
    <mergeCell ref="B44:D44"/>
    <mergeCell ref="B45:D45"/>
    <mergeCell ref="B47:H47"/>
    <mergeCell ref="B48:C50"/>
    <mergeCell ref="D48:D50"/>
    <mergeCell ref="E48:E50"/>
    <mergeCell ref="F48:F50"/>
    <mergeCell ref="G48:G50"/>
    <mergeCell ref="H48:H50"/>
    <mergeCell ref="B32:C32"/>
    <mergeCell ref="B33:C33"/>
    <mergeCell ref="B35:G35"/>
    <mergeCell ref="B36:G36"/>
    <mergeCell ref="B37:D37"/>
    <mergeCell ref="B38:D38"/>
    <mergeCell ref="B39:D39"/>
    <mergeCell ref="B40:D40"/>
    <mergeCell ref="B51:C51"/>
    <mergeCell ref="B29:C29"/>
    <mergeCell ref="B30:C30"/>
    <mergeCell ref="B105:C105"/>
    <mergeCell ref="B106:C106"/>
    <mergeCell ref="B2:H2"/>
    <mergeCell ref="A3:H3"/>
    <mergeCell ref="A5:G5"/>
    <mergeCell ref="A6:G6"/>
    <mergeCell ref="B11:D11"/>
    <mergeCell ref="E11:G11"/>
    <mergeCell ref="B12:D12"/>
    <mergeCell ref="E12:G12"/>
    <mergeCell ref="B13:D13"/>
    <mergeCell ref="E13:G13"/>
    <mergeCell ref="B8:D8"/>
    <mergeCell ref="E8:G8"/>
    <mergeCell ref="B9:D9"/>
    <mergeCell ref="E9:G9"/>
    <mergeCell ref="B10:D10"/>
    <mergeCell ref="E10:G10"/>
    <mergeCell ref="B41:C41"/>
    <mergeCell ref="B42:D42"/>
    <mergeCell ref="B43:D43"/>
    <mergeCell ref="B31:C31"/>
    <mergeCell ref="B14:D14"/>
    <mergeCell ref="E14:G14"/>
    <mergeCell ref="B15:D15"/>
    <mergeCell ref="E15:G15"/>
    <mergeCell ref="B16:D16"/>
    <mergeCell ref="E16:G16"/>
    <mergeCell ref="B26:G26"/>
    <mergeCell ref="B27:C28"/>
    <mergeCell ref="D27:D28"/>
    <mergeCell ref="E27:G27"/>
  </mergeCells>
  <pageMargins left="0.11811023622047245" right="0.11811023622047245" top="0.15748031496062992" bottom="0.15748031496062992" header="0.31496062992125984" footer="0.31496062992125984"/>
  <pageSetup paperSize="9" scale="43" orientation="portrait" r:id="rId1"/>
  <headerFooter alignWithMargins="0"/>
  <rowBreaks count="2" manualBreakCount="2">
    <brk id="83" max="7" man="1"/>
    <brk id="1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5"/>
  <sheetViews>
    <sheetView view="pageBreakPreview" topLeftCell="A18" zoomScale="70" zoomScaleSheetLayoutView="70" workbookViewId="0">
      <selection activeCell="E25" sqref="E25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5.28515625" customWidth="1"/>
    <col min="5" max="5" width="17" customWidth="1"/>
    <col min="6" max="6" width="16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152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151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3154.6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2386.5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768.1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3154.6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175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14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123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40.25" x14ac:dyDescent="0.25">
      <c r="B21" s="230"/>
      <c r="C21" s="231"/>
      <c r="D21" s="232"/>
      <c r="E21" s="28" t="s">
        <v>20</v>
      </c>
      <c r="F21" s="28" t="s">
        <v>21</v>
      </c>
      <c r="G21" s="28" t="s">
        <v>19</v>
      </c>
      <c r="H21" s="31"/>
    </row>
    <row r="22" spans="1:8" x14ac:dyDescent="0.25">
      <c r="B22" s="223" t="s">
        <v>22</v>
      </c>
      <c r="C22" s="224"/>
      <c r="D22" s="7"/>
      <c r="E22" s="7"/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1074649.92</v>
      </c>
      <c r="E23" s="45">
        <f>E38+D96+C140</f>
        <v>314828.44</v>
      </c>
      <c r="F23" s="44">
        <f>D97+D98+D99+D100+D101</f>
        <v>78920.490000000005</v>
      </c>
      <c r="G23" s="44">
        <f>F111+F112+F113+F114+F115+F116</f>
        <v>680900.99</v>
      </c>
      <c r="H23" s="2"/>
    </row>
    <row r="24" spans="1:8" x14ac:dyDescent="0.25">
      <c r="B24" s="223" t="s">
        <v>24</v>
      </c>
      <c r="C24" s="224"/>
      <c r="D24" s="43">
        <f>E24+F24+G24</f>
        <v>744022.29</v>
      </c>
      <c r="E24" s="45">
        <f>F38+E96+D138+D139</f>
        <v>168363.75</v>
      </c>
      <c r="F24" s="44">
        <f>E97+E98+E100+E101+E104</f>
        <v>66608.88</v>
      </c>
      <c r="G24" s="44">
        <f>G117</f>
        <v>509049.66000000003</v>
      </c>
      <c r="H24" s="2"/>
    </row>
    <row r="25" spans="1:8" x14ac:dyDescent="0.25">
      <c r="B25" s="223" t="s">
        <v>25</v>
      </c>
      <c r="C25" s="224"/>
      <c r="D25" s="7">
        <f>E25+F25+G25</f>
        <v>802549.70000000007</v>
      </c>
      <c r="E25" s="44">
        <f>D140+176385.6</f>
        <v>226891.16</v>
      </c>
      <c r="F25" s="44">
        <f>F24</f>
        <v>66608.88</v>
      </c>
      <c r="G25" s="44">
        <f>G24</f>
        <v>509049.66000000003</v>
      </c>
      <c r="H25" s="2"/>
    </row>
    <row r="26" spans="1:8" x14ac:dyDescent="0.25">
      <c r="B26" s="223" t="s">
        <v>249</v>
      </c>
      <c r="C26" s="224"/>
      <c r="D26" s="7">
        <f>E26+F26+G26</f>
        <v>436574.14</v>
      </c>
      <c r="E26" s="45">
        <f>G38+G96+F140</f>
        <v>125864.93999999997</v>
      </c>
      <c r="F26" s="45">
        <f>G105-G96</f>
        <v>36788.04</v>
      </c>
      <c r="G26" s="45">
        <f>H117</f>
        <v>273921.16000000003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265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18" t="s">
        <v>30</v>
      </c>
      <c r="F30" s="30" t="s">
        <v>31</v>
      </c>
      <c r="G30" s="8" t="s">
        <v>32</v>
      </c>
      <c r="H30" s="9"/>
    </row>
    <row r="31" spans="1:8" x14ac:dyDescent="0.25">
      <c r="B31" s="174" t="s">
        <v>33</v>
      </c>
      <c r="C31" s="212"/>
      <c r="D31" s="175"/>
      <c r="E31" s="23">
        <v>27510.59</v>
      </c>
      <c r="F31" s="40">
        <v>12478.77</v>
      </c>
      <c r="G31" s="23">
        <f>15031.82-5142.06</f>
        <v>9889.7599999999984</v>
      </c>
      <c r="H31" s="5"/>
    </row>
    <row r="32" spans="1:8" x14ac:dyDescent="0.25">
      <c r="B32" s="174" t="s">
        <v>34</v>
      </c>
      <c r="C32" s="212"/>
      <c r="D32" s="175"/>
      <c r="E32" s="23">
        <v>36240.269999999997</v>
      </c>
      <c r="F32" s="40">
        <v>16392.16</v>
      </c>
      <c r="G32" s="23">
        <f>19848.11-6687.68</f>
        <v>13160.43</v>
      </c>
      <c r="H32" s="5"/>
    </row>
    <row r="33" spans="2:8" x14ac:dyDescent="0.25">
      <c r="B33" s="174" t="s">
        <v>35</v>
      </c>
      <c r="C33" s="212"/>
      <c r="D33" s="175"/>
      <c r="E33" s="23">
        <v>22254.66</v>
      </c>
      <c r="F33" s="40">
        <v>10107.77</v>
      </c>
      <c r="G33" s="23">
        <f>12146.89-4132.58</f>
        <v>8014.3099999999995</v>
      </c>
      <c r="H33" s="5"/>
    </row>
    <row r="34" spans="2:8" hidden="1" x14ac:dyDescent="0.25">
      <c r="B34" s="174" t="s">
        <v>36</v>
      </c>
      <c r="C34" s="175"/>
      <c r="D34" s="29"/>
      <c r="E34" s="23"/>
      <c r="F34" s="40"/>
      <c r="G34" s="23"/>
      <c r="H34" s="5"/>
    </row>
    <row r="35" spans="2:8" x14ac:dyDescent="0.25">
      <c r="B35" s="174" t="s">
        <v>37</v>
      </c>
      <c r="C35" s="212"/>
      <c r="D35" s="175"/>
      <c r="E35" s="23">
        <v>52050.04</v>
      </c>
      <c r="F35" s="40">
        <v>23551.42</v>
      </c>
      <c r="G35" s="23">
        <f>28498.62-9621.75</f>
        <v>18876.87</v>
      </c>
      <c r="H35" s="5"/>
    </row>
    <row r="36" spans="2:8" x14ac:dyDescent="0.25">
      <c r="B36" s="174" t="s">
        <v>38</v>
      </c>
      <c r="C36" s="212"/>
      <c r="D36" s="175"/>
      <c r="E36" s="23">
        <v>41116.370000000003</v>
      </c>
      <c r="F36" s="40">
        <v>19259.14</v>
      </c>
      <c r="G36" s="23">
        <f>18463.43+3393.8-8075.77</f>
        <v>13781.46</v>
      </c>
      <c r="H36" s="5"/>
    </row>
    <row r="37" spans="2:8" ht="30" customHeight="1" x14ac:dyDescent="0.25">
      <c r="B37" s="174" t="s">
        <v>39</v>
      </c>
      <c r="C37" s="212"/>
      <c r="D37" s="175"/>
      <c r="E37" s="23">
        <v>40135.31</v>
      </c>
      <c r="F37" s="40">
        <v>18385.849999999999</v>
      </c>
      <c r="G37" s="23">
        <f>21749.46-7444.85</f>
        <v>14304.609999999999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219307.24</v>
      </c>
      <c r="F38" s="41">
        <f>SUM(F31:F37)</f>
        <v>100175.10999999999</v>
      </c>
      <c r="G38" s="41">
        <f>SUM(G31:G37)</f>
        <v>78027.439999999988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63300.6</v>
      </c>
      <c r="G44" s="123"/>
      <c r="H44" s="123">
        <f t="shared" ref="H44" si="0">H45+H46+H47</f>
        <v>66208.899999999994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v>20391.3</v>
      </c>
      <c r="G45" s="117"/>
      <c r="H45" s="105">
        <v>24538.6</v>
      </c>
    </row>
    <row r="46" spans="2:8" x14ac:dyDescent="0.25">
      <c r="B46" s="210" t="s">
        <v>49</v>
      </c>
      <c r="C46" s="211"/>
      <c r="D46" s="24">
        <v>2014</v>
      </c>
      <c r="E46" s="10"/>
      <c r="F46" s="105">
        <v>26521.200000000001</v>
      </c>
      <c r="G46" s="117"/>
      <c r="H46" s="105">
        <v>25262</v>
      </c>
    </row>
    <row r="47" spans="2:8" x14ac:dyDescent="0.25">
      <c r="B47" s="174" t="s">
        <v>35</v>
      </c>
      <c r="C47" s="175"/>
      <c r="D47" s="24">
        <v>2014</v>
      </c>
      <c r="E47" s="10"/>
      <c r="F47" s="105">
        <v>16388.099999999999</v>
      </c>
      <c r="G47" s="117"/>
      <c r="H47" s="105">
        <v>16408.3</v>
      </c>
    </row>
    <row r="48" spans="2:8" hidden="1" x14ac:dyDescent="0.25">
      <c r="B48" s="174" t="s">
        <v>36</v>
      </c>
      <c r="C48" s="175"/>
      <c r="D48" s="23"/>
      <c r="E48" s="10"/>
      <c r="F48" s="105"/>
      <c r="G48" s="117"/>
      <c r="H48" s="105"/>
    </row>
    <row r="49" spans="2:8" x14ac:dyDescent="0.25">
      <c r="B49" s="202" t="s">
        <v>65</v>
      </c>
      <c r="C49" s="203"/>
      <c r="D49" s="23"/>
      <c r="E49" s="10"/>
      <c r="F49" s="118"/>
      <c r="G49" s="117"/>
      <c r="H49" s="118"/>
    </row>
    <row r="50" spans="2:8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x14ac:dyDescent="0.25">
      <c r="B51" s="208" t="s">
        <v>67</v>
      </c>
      <c r="C51" s="209"/>
      <c r="D51" s="150" t="s">
        <v>266</v>
      </c>
      <c r="E51" s="150"/>
      <c r="F51" s="151"/>
      <c r="G51" s="150" t="s">
        <v>268</v>
      </c>
      <c r="H51" s="151">
        <f>7584.37</f>
        <v>7584.37</v>
      </c>
    </row>
    <row r="52" spans="2:8" x14ac:dyDescent="0.25">
      <c r="B52" s="208" t="s">
        <v>269</v>
      </c>
      <c r="C52" s="209"/>
      <c r="D52" s="108" t="s">
        <v>270</v>
      </c>
      <c r="E52" s="108"/>
      <c r="F52" s="152"/>
      <c r="G52" s="149" t="s">
        <v>267</v>
      </c>
      <c r="H52" s="152">
        <v>2087.9499999999998</v>
      </c>
    </row>
    <row r="53" spans="2:8" x14ac:dyDescent="0.25">
      <c r="B53" s="208" t="s">
        <v>68</v>
      </c>
      <c r="C53" s="209"/>
      <c r="D53" s="108" t="s">
        <v>272</v>
      </c>
      <c r="E53" s="108"/>
      <c r="F53" s="152"/>
      <c r="G53" s="149" t="s">
        <v>267</v>
      </c>
      <c r="H53" s="152">
        <f>719.45+2787.3</f>
        <v>3506.75</v>
      </c>
    </row>
    <row r="54" spans="2:8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x14ac:dyDescent="0.25">
      <c r="B60" s="208" t="s">
        <v>69</v>
      </c>
      <c r="C60" s="209"/>
      <c r="D60" s="108" t="s">
        <v>272</v>
      </c>
      <c r="E60" s="161"/>
      <c r="F60" s="152"/>
      <c r="G60" s="161"/>
      <c r="H60" s="152"/>
    </row>
    <row r="61" spans="2:8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x14ac:dyDescent="0.25">
      <c r="B64" s="243" t="s">
        <v>50</v>
      </c>
      <c r="C64" s="244"/>
      <c r="D64" s="108"/>
      <c r="E64" s="108"/>
      <c r="F64" s="162"/>
      <c r="G64" s="163"/>
      <c r="H64" s="162"/>
    </row>
    <row r="65" spans="2:8" x14ac:dyDescent="0.25">
      <c r="B65" s="208" t="s">
        <v>51</v>
      </c>
      <c r="C65" s="209"/>
      <c r="D65" s="153" t="s">
        <v>284</v>
      </c>
      <c r="E65" s="108"/>
      <c r="F65" s="154"/>
      <c r="G65" s="108" t="s">
        <v>271</v>
      </c>
      <c r="H65" s="154"/>
    </row>
    <row r="66" spans="2:8" x14ac:dyDescent="0.25">
      <c r="B66" s="208" t="s">
        <v>52</v>
      </c>
      <c r="C66" s="209"/>
      <c r="D66" s="108" t="s">
        <v>285</v>
      </c>
      <c r="E66" s="108"/>
      <c r="F66" s="154"/>
      <c r="G66" s="108" t="s">
        <v>271</v>
      </c>
      <c r="H66" s="154"/>
    </row>
    <row r="67" spans="2:8" x14ac:dyDescent="0.25">
      <c r="B67" s="208" t="s">
        <v>53</v>
      </c>
      <c r="C67" s="209"/>
      <c r="D67" s="108" t="s">
        <v>286</v>
      </c>
      <c r="E67" s="108"/>
      <c r="F67" s="154"/>
      <c r="G67" s="108" t="s">
        <v>271</v>
      </c>
      <c r="H67" s="154"/>
    </row>
    <row r="68" spans="2:8" x14ac:dyDescent="0.25">
      <c r="B68" s="208" t="s">
        <v>54</v>
      </c>
      <c r="C68" s="209"/>
      <c r="D68" s="150" t="s">
        <v>266</v>
      </c>
      <c r="E68" s="150"/>
      <c r="F68" s="151"/>
      <c r="G68" s="108" t="s">
        <v>271</v>
      </c>
      <c r="H68" s="151">
        <v>5462.82</v>
      </c>
    </row>
    <row r="69" spans="2:8" x14ac:dyDescent="0.25">
      <c r="B69" s="208" t="s">
        <v>55</v>
      </c>
      <c r="C69" s="209"/>
      <c r="D69" s="108" t="s">
        <v>266</v>
      </c>
      <c r="E69" s="108"/>
      <c r="F69" s="152"/>
      <c r="G69" s="108"/>
      <c r="H69" s="152"/>
    </row>
    <row r="70" spans="2:8" x14ac:dyDescent="0.25">
      <c r="B70" s="208" t="s">
        <v>56</v>
      </c>
      <c r="C70" s="209"/>
      <c r="D70" s="108" t="s">
        <v>266</v>
      </c>
      <c r="E70" s="108"/>
      <c r="F70" s="152"/>
      <c r="G70" s="108"/>
      <c r="H70" s="152"/>
    </row>
    <row r="71" spans="2:8" x14ac:dyDescent="0.25">
      <c r="B71" s="208" t="s">
        <v>57</v>
      </c>
      <c r="C71" s="209"/>
      <c r="D71" s="108" t="s">
        <v>266</v>
      </c>
      <c r="E71" s="108"/>
      <c r="F71" s="154"/>
      <c r="G71" s="108" t="s">
        <v>271</v>
      </c>
      <c r="H71" s="154"/>
    </row>
    <row r="72" spans="2:8" x14ac:dyDescent="0.25">
      <c r="B72" s="208" t="s">
        <v>58</v>
      </c>
      <c r="C72" s="209"/>
      <c r="D72" s="108" t="s">
        <v>266</v>
      </c>
      <c r="E72" s="108"/>
      <c r="F72" s="164"/>
      <c r="G72" s="108" t="s">
        <v>271</v>
      </c>
      <c r="H72" s="164"/>
    </row>
    <row r="73" spans="2:8" x14ac:dyDescent="0.25">
      <c r="B73" s="208" t="s">
        <v>282</v>
      </c>
      <c r="C73" s="209"/>
      <c r="D73" s="108"/>
      <c r="E73" s="108"/>
      <c r="F73" s="154"/>
      <c r="G73" s="108"/>
      <c r="H73" s="154"/>
    </row>
    <row r="74" spans="2:8" x14ac:dyDescent="0.25">
      <c r="B74" s="208" t="s">
        <v>307</v>
      </c>
      <c r="C74" s="209"/>
      <c r="D74" s="150"/>
      <c r="E74" s="150"/>
      <c r="F74" s="168"/>
      <c r="G74" s="150" t="s">
        <v>313</v>
      </c>
      <c r="H74" s="168">
        <v>22897.98</v>
      </c>
    </row>
    <row r="75" spans="2:8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8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8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8" x14ac:dyDescent="0.25">
      <c r="B78" s="208" t="s">
        <v>62</v>
      </c>
      <c r="C78" s="209"/>
      <c r="D78" s="150" t="s">
        <v>266</v>
      </c>
      <c r="E78" s="150"/>
      <c r="F78" s="151"/>
      <c r="G78" s="150" t="s">
        <v>271</v>
      </c>
      <c r="H78" s="151">
        <f>6129.06+4290.34+3003.24</f>
        <v>13422.640000000001</v>
      </c>
    </row>
    <row r="79" spans="2:8" x14ac:dyDescent="0.25">
      <c r="B79" s="208" t="s">
        <v>290</v>
      </c>
      <c r="C79" s="209"/>
      <c r="D79" s="108" t="s">
        <v>291</v>
      </c>
      <c r="E79" s="161"/>
      <c r="F79" s="152"/>
      <c r="G79" s="108" t="s">
        <v>317</v>
      </c>
      <c r="H79" s="152">
        <f>16028.7+5267.3</f>
        <v>21296</v>
      </c>
    </row>
    <row r="80" spans="2:8" x14ac:dyDescent="0.25">
      <c r="B80" s="208" t="s">
        <v>282</v>
      </c>
      <c r="C80" s="209"/>
      <c r="D80" s="108"/>
      <c r="E80" s="108"/>
      <c r="F80" s="154"/>
      <c r="G80" s="108"/>
      <c r="H80" s="154"/>
    </row>
    <row r="81" spans="2:8" x14ac:dyDescent="0.25">
      <c r="B81" s="243" t="s">
        <v>63</v>
      </c>
      <c r="C81" s="244"/>
      <c r="D81" s="153"/>
      <c r="E81" s="108"/>
      <c r="F81" s="152"/>
      <c r="G81" s="108" t="s">
        <v>271</v>
      </c>
      <c r="H81" s="152">
        <v>11213.5</v>
      </c>
    </row>
    <row r="82" spans="2:8" x14ac:dyDescent="0.25">
      <c r="B82" s="243" t="s">
        <v>64</v>
      </c>
      <c r="C82" s="244"/>
      <c r="D82" s="108"/>
      <c r="E82" s="108"/>
      <c r="F82" s="152"/>
      <c r="G82" s="108" t="s">
        <v>271</v>
      </c>
      <c r="H82" s="152">
        <v>9298.2099999999991</v>
      </c>
    </row>
    <row r="83" spans="2:8" x14ac:dyDescent="0.25">
      <c r="B83" s="243" t="s">
        <v>294</v>
      </c>
      <c r="C83" s="244"/>
      <c r="D83" s="108"/>
      <c r="E83" s="108"/>
      <c r="F83" s="162"/>
      <c r="G83" s="163"/>
      <c r="H83" s="162"/>
    </row>
    <row r="84" spans="2:8" x14ac:dyDescent="0.25">
      <c r="B84" s="208" t="s">
        <v>295</v>
      </c>
      <c r="C84" s="209"/>
      <c r="D84" s="153" t="s">
        <v>296</v>
      </c>
      <c r="E84" s="108"/>
      <c r="F84" s="152"/>
      <c r="G84" s="108"/>
      <c r="H84" s="152"/>
    </row>
    <row r="85" spans="2:8" x14ac:dyDescent="0.25">
      <c r="B85" s="208" t="s">
        <v>71</v>
      </c>
      <c r="C85" s="209"/>
      <c r="D85" s="153" t="s">
        <v>297</v>
      </c>
      <c r="E85" s="108"/>
      <c r="F85" s="152"/>
      <c r="G85" s="108"/>
      <c r="H85" s="152"/>
    </row>
    <row r="86" spans="2:8" x14ac:dyDescent="0.25">
      <c r="B86" s="208" t="s">
        <v>72</v>
      </c>
      <c r="C86" s="209"/>
      <c r="D86" s="108" t="s">
        <v>299</v>
      </c>
      <c r="E86" s="108"/>
      <c r="F86" s="152"/>
      <c r="G86" s="108" t="s">
        <v>318</v>
      </c>
      <c r="H86" s="152">
        <v>1346.34</v>
      </c>
    </row>
    <row r="87" spans="2:8" x14ac:dyDescent="0.25">
      <c r="B87" s="208" t="s">
        <v>301</v>
      </c>
      <c r="C87" s="209"/>
      <c r="D87" s="108" t="s">
        <v>291</v>
      </c>
      <c r="E87" s="108"/>
      <c r="F87" s="152"/>
      <c r="G87" s="108" t="s">
        <v>271</v>
      </c>
      <c r="H87" s="161">
        <v>10591.24</v>
      </c>
    </row>
    <row r="88" spans="2:8" x14ac:dyDescent="0.25">
      <c r="B88" s="208" t="s">
        <v>282</v>
      </c>
      <c r="C88" s="209"/>
      <c r="D88" s="108"/>
      <c r="E88" s="108"/>
      <c r="F88" s="154"/>
      <c r="G88" s="108"/>
      <c r="H88" s="154"/>
    </row>
    <row r="89" spans="2:8" x14ac:dyDescent="0.25">
      <c r="B89" s="208" t="s">
        <v>302</v>
      </c>
      <c r="C89" s="209"/>
      <c r="D89" s="108" t="s">
        <v>291</v>
      </c>
      <c r="E89" s="108"/>
      <c r="F89" s="152"/>
      <c r="G89" s="108" t="s">
        <v>319</v>
      </c>
      <c r="H89" s="152">
        <v>3863.98</v>
      </c>
    </row>
    <row r="90" spans="2:8" x14ac:dyDescent="0.25">
      <c r="B90" s="208" t="s">
        <v>311</v>
      </c>
      <c r="C90" s="209"/>
      <c r="D90" s="108"/>
      <c r="E90" s="108"/>
      <c r="F90" s="152"/>
      <c r="G90" s="108" t="s">
        <v>312</v>
      </c>
      <c r="H90" s="152">
        <v>5400</v>
      </c>
    </row>
    <row r="91" spans="2:8" ht="15" customHeight="1" x14ac:dyDescent="0.25">
      <c r="B91" s="208" t="s">
        <v>320</v>
      </c>
      <c r="C91" s="209"/>
      <c r="D91" s="108"/>
      <c r="E91" s="108"/>
      <c r="F91" s="152"/>
      <c r="G91" s="108"/>
      <c r="H91" s="152"/>
    </row>
    <row r="92" spans="2:8" x14ac:dyDescent="0.25">
      <c r="B92" s="206" t="s">
        <v>73</v>
      </c>
      <c r="C92" s="207"/>
      <c r="D92" s="108"/>
      <c r="E92" s="108"/>
      <c r="F92" s="165"/>
      <c r="G92" s="165"/>
      <c r="H92" s="165">
        <f>176385.6-29621.3</f>
        <v>146764.30000000002</v>
      </c>
    </row>
    <row r="93" spans="2:8" x14ac:dyDescent="0.25">
      <c r="B93" s="9"/>
      <c r="C93" s="9"/>
      <c r="D93" s="5"/>
      <c r="E93" s="5"/>
      <c r="F93" s="15"/>
      <c r="G93" s="5"/>
      <c r="H93" s="15"/>
    </row>
    <row r="94" spans="2:8" x14ac:dyDescent="0.25">
      <c r="B94" s="201" t="s">
        <v>262</v>
      </c>
      <c r="C94" s="201"/>
      <c r="D94" s="201"/>
      <c r="E94" s="201"/>
      <c r="F94" s="201"/>
      <c r="G94" s="201"/>
    </row>
    <row r="95" spans="2:8" ht="63" customHeight="1" x14ac:dyDescent="0.25">
      <c r="B95" s="194" t="s">
        <v>29</v>
      </c>
      <c r="C95" s="194"/>
      <c r="D95" s="18" t="s">
        <v>30</v>
      </c>
      <c r="E95" s="18" t="s">
        <v>31</v>
      </c>
      <c r="F95" s="8" t="s">
        <v>82</v>
      </c>
      <c r="G95" s="8" t="s">
        <v>32</v>
      </c>
    </row>
    <row r="96" spans="2:8" x14ac:dyDescent="0.25">
      <c r="B96" s="181" t="s">
        <v>83</v>
      </c>
      <c r="C96" s="183"/>
      <c r="D96" s="23">
        <v>32429.200000000001</v>
      </c>
      <c r="E96" s="23">
        <v>17683.080000000002</v>
      </c>
      <c r="F96" s="23">
        <f t="shared" ref="F96:F105" si="1">E96</f>
        <v>17683.080000000002</v>
      </c>
      <c r="G96" s="20">
        <f>23949.87-8107.3</f>
        <v>15842.57</v>
      </c>
    </row>
    <row r="97" spans="2:8" x14ac:dyDescent="0.25">
      <c r="B97" s="181" t="s">
        <v>84</v>
      </c>
      <c r="C97" s="183"/>
      <c r="D97" s="23">
        <f>12938.19+4.26+3504.2+1.15+4000.46+1.32+3075.91</f>
        <v>23525.49</v>
      </c>
      <c r="E97" s="23">
        <f>11890.72+3266.97+3619.73+1594.97</f>
        <v>20372.39</v>
      </c>
      <c r="F97" s="23">
        <f t="shared" si="1"/>
        <v>20372.39</v>
      </c>
      <c r="G97" s="20">
        <f>8115+2246.09+2379.97-1011.2-855.76-3270.4+888.3</f>
        <v>8491.9999999999982</v>
      </c>
    </row>
    <row r="98" spans="2:8" ht="30" customHeight="1" x14ac:dyDescent="0.25">
      <c r="B98" s="174" t="s">
        <v>85</v>
      </c>
      <c r="C98" s="175"/>
      <c r="D98" s="23">
        <v>11356.56</v>
      </c>
      <c r="E98" s="23">
        <v>8988.25</v>
      </c>
      <c r="F98" s="23">
        <f t="shared" si="1"/>
        <v>8988.25</v>
      </c>
      <c r="G98" s="20">
        <f>8547.58-2839.14</f>
        <v>5708.4400000000005</v>
      </c>
    </row>
    <row r="99" spans="2:8" ht="30" customHeight="1" x14ac:dyDescent="0.25">
      <c r="B99" s="174" t="s">
        <v>86</v>
      </c>
      <c r="C99" s="175"/>
      <c r="D99" s="23">
        <v>0</v>
      </c>
      <c r="E99" s="23">
        <v>0</v>
      </c>
      <c r="F99" s="23">
        <f t="shared" si="1"/>
        <v>0</v>
      </c>
      <c r="G99" s="20">
        <v>0</v>
      </c>
    </row>
    <row r="100" spans="2:8" x14ac:dyDescent="0.25">
      <c r="B100" s="174" t="s">
        <v>87</v>
      </c>
      <c r="C100" s="175"/>
      <c r="D100" s="23">
        <f>42019.52</f>
        <v>42019.519999999997</v>
      </c>
      <c r="E100" s="23">
        <f>523.22+33098.66</f>
        <v>33621.880000000005</v>
      </c>
      <c r="F100" s="23">
        <f t="shared" si="1"/>
        <v>33621.880000000005</v>
      </c>
      <c r="G100" s="20">
        <f>1429.08+29461.95-10504.88</f>
        <v>20386.150000000001</v>
      </c>
    </row>
    <row r="101" spans="2:8" x14ac:dyDescent="0.25">
      <c r="B101" s="174" t="s">
        <v>88</v>
      </c>
      <c r="C101" s="175"/>
      <c r="D101" s="23">
        <v>2018.92</v>
      </c>
      <c r="E101" s="23">
        <v>1588.46</v>
      </c>
      <c r="F101" s="23">
        <f t="shared" si="1"/>
        <v>1588.46</v>
      </c>
      <c r="G101" s="20">
        <f>1504.01-504.73</f>
        <v>999.28</v>
      </c>
    </row>
    <row r="102" spans="2:8" x14ac:dyDescent="0.25">
      <c r="B102" s="174" t="s">
        <v>150</v>
      </c>
      <c r="C102" s="175"/>
      <c r="D102" s="23">
        <v>0</v>
      </c>
      <c r="E102" s="23">
        <v>0</v>
      </c>
      <c r="F102" s="23">
        <f t="shared" si="1"/>
        <v>0</v>
      </c>
      <c r="G102" s="20">
        <v>0</v>
      </c>
    </row>
    <row r="103" spans="2:8" x14ac:dyDescent="0.25">
      <c r="B103" s="174" t="s">
        <v>89</v>
      </c>
      <c r="C103" s="175"/>
      <c r="D103" s="23">
        <v>0</v>
      </c>
      <c r="E103" s="23">
        <v>0</v>
      </c>
      <c r="F103" s="23">
        <f t="shared" si="1"/>
        <v>0</v>
      </c>
      <c r="G103" s="20">
        <v>0</v>
      </c>
    </row>
    <row r="104" spans="2:8" ht="30" x14ac:dyDescent="0.25">
      <c r="B104" s="37" t="s">
        <v>81</v>
      </c>
      <c r="C104" s="38"/>
      <c r="D104" s="23">
        <v>0</v>
      </c>
      <c r="E104" s="23">
        <v>2037.9</v>
      </c>
      <c r="F104" s="23">
        <f t="shared" si="1"/>
        <v>2037.9</v>
      </c>
      <c r="G104" s="20">
        <f>1202.17</f>
        <v>1202.17</v>
      </c>
    </row>
    <row r="105" spans="2:8" ht="18.75" customHeight="1" x14ac:dyDescent="0.25">
      <c r="B105" s="202" t="s">
        <v>90</v>
      </c>
      <c r="C105" s="203"/>
      <c r="D105" s="39">
        <f>SUM(D96:D103)</f>
        <v>111349.68999999999</v>
      </c>
      <c r="E105" s="39">
        <f>SUM(E96:E104)</f>
        <v>84291.96</v>
      </c>
      <c r="F105" s="23">
        <f t="shared" si="1"/>
        <v>84291.96</v>
      </c>
      <c r="G105" s="39">
        <f>SUM(G96:G104)</f>
        <v>52630.61</v>
      </c>
    </row>
    <row r="106" spans="2:8" x14ac:dyDescent="0.25">
      <c r="B106" s="202" t="s">
        <v>91</v>
      </c>
      <c r="C106" s="203"/>
      <c r="D106" s="46">
        <f>D105+F117+E38+C140</f>
        <v>1074649.92</v>
      </c>
      <c r="E106" s="46">
        <f>E105+G117+F38+D140</f>
        <v>744022.29</v>
      </c>
      <c r="F106" s="46">
        <f>E106</f>
        <v>744022.29</v>
      </c>
      <c r="G106" s="46">
        <f>G38+G105+H117+F140</f>
        <v>436574.14</v>
      </c>
    </row>
    <row r="107" spans="2:8" x14ac:dyDescent="0.25">
      <c r="B107" s="16"/>
      <c r="C107" s="16"/>
      <c r="D107" s="16"/>
      <c r="E107" s="17"/>
      <c r="F107" s="17"/>
      <c r="G107" s="17"/>
      <c r="H107" s="17"/>
    </row>
    <row r="108" spans="2:8" x14ac:dyDescent="0.25">
      <c r="B108" s="204" t="s">
        <v>264</v>
      </c>
      <c r="C108" s="201"/>
      <c r="D108" s="201"/>
      <c r="E108" s="201"/>
      <c r="F108" s="201"/>
    </row>
    <row r="109" spans="2:8" ht="38.25" customHeight="1" x14ac:dyDescent="0.25">
      <c r="B109" s="194" t="s">
        <v>29</v>
      </c>
      <c r="C109" s="194" t="s">
        <v>93</v>
      </c>
      <c r="D109" s="194"/>
      <c r="E109" s="205" t="s">
        <v>94</v>
      </c>
      <c r="F109" s="194" t="s">
        <v>30</v>
      </c>
      <c r="G109" s="194" t="s">
        <v>31</v>
      </c>
      <c r="H109" s="195" t="s">
        <v>95</v>
      </c>
    </row>
    <row r="110" spans="2:8" ht="35.25" customHeight="1" x14ac:dyDescent="0.25">
      <c r="B110" s="194"/>
      <c r="C110" s="18" t="s">
        <v>96</v>
      </c>
      <c r="D110" s="19" t="s">
        <v>97</v>
      </c>
      <c r="E110" s="205"/>
      <c r="F110" s="194"/>
      <c r="G110" s="194"/>
      <c r="H110" s="195"/>
    </row>
    <row r="111" spans="2:8" x14ac:dyDescent="0.25">
      <c r="B111" s="10" t="s">
        <v>98</v>
      </c>
      <c r="C111" s="23">
        <v>1400.08</v>
      </c>
      <c r="D111" s="42">
        <v>1439.26</v>
      </c>
      <c r="E111" s="110">
        <f>F111/D111</f>
        <v>210.89718327473841</v>
      </c>
      <c r="F111" s="23">
        <f>303535.88</f>
        <v>303535.88</v>
      </c>
      <c r="G111" s="23">
        <v>176023.66</v>
      </c>
      <c r="H111" s="23">
        <f>257069.09-120663.67</f>
        <v>136405.41999999998</v>
      </c>
    </row>
    <row r="112" spans="2:8" x14ac:dyDescent="0.25">
      <c r="B112" s="10" t="s">
        <v>147</v>
      </c>
      <c r="C112" s="23">
        <v>22.15</v>
      </c>
      <c r="D112" s="42">
        <v>26.44</v>
      </c>
      <c r="E112" s="110">
        <v>1252.6600000000001</v>
      </c>
      <c r="F112" s="23">
        <f>101984.03+7849.48+306.45-68.17+68.17-1236.95</f>
        <v>108903.01</v>
      </c>
      <c r="G112" s="23">
        <f>87046.33+6506.29-307.56-1821.38</f>
        <v>91423.679999999993</v>
      </c>
      <c r="H112" s="23">
        <f>71179.28+4531.47-18.67-30470.38</f>
        <v>45221.7</v>
      </c>
    </row>
    <row r="113" spans="2:8" x14ac:dyDescent="0.25">
      <c r="B113" s="10" t="s">
        <v>99</v>
      </c>
      <c r="C113" s="23">
        <v>18.43</v>
      </c>
      <c r="D113" s="42">
        <v>19.22</v>
      </c>
      <c r="E113" s="110">
        <v>2390.34</v>
      </c>
      <c r="F113" s="23">
        <f>15167.39-2265.05+62.29+32899.59+140.15+21888.71+2125.12</f>
        <v>70018.2</v>
      </c>
      <c r="G113" s="23">
        <f>10464.98+2069.39+29348.06+22100.32</f>
        <v>63982.75</v>
      </c>
      <c r="H113" s="23">
        <f>10817.16+792.21+21035.17+14630.81-3782.5-8402.91-6150.55</f>
        <v>28939.390000000003</v>
      </c>
    </row>
    <row r="114" spans="2:8" x14ac:dyDescent="0.25">
      <c r="B114" s="10" t="s">
        <v>100</v>
      </c>
      <c r="C114" s="23">
        <v>12.31</v>
      </c>
      <c r="D114" s="42">
        <v>12.84</v>
      </c>
      <c r="E114" s="110">
        <v>3595.32</v>
      </c>
      <c r="F114" s="23">
        <f>36601.9+1513.39</f>
        <v>38115.29</v>
      </c>
      <c r="G114" s="23">
        <f>34904.78</f>
        <v>34904.78</v>
      </c>
      <c r="H114" s="23">
        <f>24362.57-9722.59</f>
        <v>14639.98</v>
      </c>
    </row>
    <row r="115" spans="2:8" x14ac:dyDescent="0.25">
      <c r="B115" s="10" t="s">
        <v>101</v>
      </c>
      <c r="C115" s="23" t="s">
        <v>145</v>
      </c>
      <c r="D115" s="42" t="s">
        <v>146</v>
      </c>
      <c r="E115" s="110">
        <v>63181.73</v>
      </c>
      <c r="F115" s="23">
        <f>160321.17+7.44</f>
        <v>160328.61000000002</v>
      </c>
      <c r="G115" s="23">
        <f>-1.21+142716</f>
        <v>142714.79</v>
      </c>
      <c r="H115" s="23">
        <f>-728.8+93110.13-43666.66</f>
        <v>48714.67</v>
      </c>
    </row>
    <row r="116" spans="2:8" x14ac:dyDescent="0.25">
      <c r="B116" s="10" t="s">
        <v>102</v>
      </c>
      <c r="C116" s="23">
        <v>2.2999999999999998</v>
      </c>
      <c r="D116" s="42">
        <v>2.39</v>
      </c>
      <c r="E116" s="20">
        <v>0</v>
      </c>
      <c r="F116" s="23">
        <v>0</v>
      </c>
      <c r="G116" s="23">
        <v>0</v>
      </c>
      <c r="H116" s="23">
        <v>0</v>
      </c>
    </row>
    <row r="117" spans="2:8" x14ac:dyDescent="0.25">
      <c r="B117" s="11" t="s">
        <v>103</v>
      </c>
      <c r="C117" s="39"/>
      <c r="D117" s="42"/>
      <c r="E117" s="4"/>
      <c r="F117" s="39">
        <f>SUM(F111:F116)</f>
        <v>680900.99</v>
      </c>
      <c r="G117" s="39">
        <f>SUM(G111:G116)</f>
        <v>509049.66000000003</v>
      </c>
      <c r="H117" s="39">
        <f>SUM(H111:H116)</f>
        <v>273921.16000000003</v>
      </c>
    </row>
    <row r="118" spans="2:8" x14ac:dyDescent="0.25">
      <c r="B118" s="16"/>
      <c r="C118" s="16"/>
      <c r="D118" s="16"/>
      <c r="E118" s="17"/>
      <c r="F118" s="17"/>
      <c r="G118" s="17"/>
      <c r="H118" s="17"/>
    </row>
    <row r="119" spans="2:8" x14ac:dyDescent="0.25">
      <c r="B119" s="16"/>
      <c r="C119" s="16" t="s">
        <v>244</v>
      </c>
      <c r="D119" s="16"/>
      <c r="E119" s="17"/>
      <c r="F119" s="17"/>
      <c r="G119" s="17"/>
      <c r="H119" s="17"/>
    </row>
    <row r="120" spans="2:8" x14ac:dyDescent="0.25">
      <c r="B120" s="137" t="s">
        <v>228</v>
      </c>
      <c r="C120" s="137" t="s">
        <v>229</v>
      </c>
      <c r="D120" s="137"/>
      <c r="E120" s="131" t="s">
        <v>230</v>
      </c>
      <c r="F120" s="17"/>
      <c r="G120" s="17"/>
      <c r="H120" s="17"/>
    </row>
    <row r="121" spans="2:8" x14ac:dyDescent="0.25">
      <c r="B121" s="133" t="s">
        <v>231</v>
      </c>
      <c r="C121" s="146"/>
      <c r="D121" s="130"/>
      <c r="E121" s="129"/>
      <c r="F121" s="17"/>
      <c r="G121" s="17"/>
      <c r="H121" s="17"/>
    </row>
    <row r="122" spans="2:8" x14ac:dyDescent="0.25">
      <c r="B122" s="133" t="s">
        <v>232</v>
      </c>
      <c r="C122" s="146"/>
      <c r="D122" s="130"/>
      <c r="E122" s="129"/>
      <c r="F122" s="17"/>
      <c r="G122" s="17"/>
      <c r="H122" s="17"/>
    </row>
    <row r="123" spans="2:8" x14ac:dyDescent="0.25">
      <c r="B123" s="133" t="s">
        <v>233</v>
      </c>
      <c r="C123" s="146"/>
      <c r="D123" s="130"/>
      <c r="E123" s="129"/>
      <c r="F123" s="17"/>
      <c r="G123" s="17"/>
      <c r="H123" s="17"/>
    </row>
    <row r="124" spans="2:8" x14ac:dyDescent="0.25">
      <c r="B124" s="133" t="s">
        <v>234</v>
      </c>
      <c r="C124" s="146"/>
      <c r="D124" s="130"/>
      <c r="E124" s="129"/>
      <c r="F124" s="17"/>
      <c r="G124" s="17"/>
      <c r="H124" s="17"/>
    </row>
    <row r="125" spans="2:8" x14ac:dyDescent="0.25">
      <c r="B125" s="133" t="s">
        <v>235</v>
      </c>
      <c r="C125" s="146"/>
      <c r="D125" s="130"/>
      <c r="E125" s="129"/>
      <c r="F125" s="17"/>
      <c r="G125" s="17"/>
      <c r="H125" s="17"/>
    </row>
    <row r="126" spans="2:8" x14ac:dyDescent="0.25">
      <c r="B126" s="133" t="s">
        <v>236</v>
      </c>
      <c r="C126" s="146"/>
      <c r="D126" s="130"/>
      <c r="E126" s="129"/>
      <c r="F126" s="17"/>
      <c r="G126" s="17"/>
      <c r="H126" s="17"/>
    </row>
    <row r="127" spans="2:8" x14ac:dyDescent="0.25">
      <c r="B127" s="133" t="s">
        <v>70</v>
      </c>
      <c r="C127" s="146">
        <v>3</v>
      </c>
      <c r="D127" s="130"/>
      <c r="E127" s="105">
        <v>100</v>
      </c>
      <c r="F127" s="17"/>
      <c r="G127" s="17"/>
      <c r="H127" s="17"/>
    </row>
    <row r="128" spans="2:8" x14ac:dyDescent="0.25">
      <c r="B128" s="133" t="s">
        <v>237</v>
      </c>
      <c r="C128" s="146"/>
      <c r="D128" s="130"/>
      <c r="E128" s="105"/>
      <c r="F128" s="17"/>
      <c r="G128" s="17"/>
      <c r="H128" s="17"/>
    </row>
    <row r="129" spans="2:8" x14ac:dyDescent="0.25">
      <c r="B129" s="133" t="s">
        <v>238</v>
      </c>
      <c r="C129" s="146"/>
      <c r="D129" s="130"/>
      <c r="E129" s="105"/>
      <c r="F129" s="17"/>
      <c r="G129" s="17"/>
      <c r="H129" s="17"/>
    </row>
    <row r="130" spans="2:8" x14ac:dyDescent="0.25">
      <c r="B130" s="133" t="s">
        <v>239</v>
      </c>
      <c r="C130" s="146"/>
      <c r="D130" s="130"/>
      <c r="E130" s="105"/>
      <c r="F130" s="17"/>
      <c r="G130" s="17"/>
      <c r="H130" s="17"/>
    </row>
    <row r="131" spans="2:8" x14ac:dyDescent="0.25">
      <c r="B131" s="133" t="s">
        <v>240</v>
      </c>
      <c r="C131" s="146"/>
      <c r="D131" s="130"/>
      <c r="E131" s="105"/>
      <c r="F131" s="17"/>
      <c r="G131" s="17"/>
      <c r="H131" s="17"/>
    </row>
    <row r="132" spans="2:8" x14ac:dyDescent="0.25">
      <c r="B132" s="133" t="s">
        <v>241</v>
      </c>
      <c r="C132" s="146"/>
      <c r="D132" s="130"/>
      <c r="E132" s="105"/>
      <c r="F132" s="17"/>
      <c r="G132" s="17"/>
      <c r="H132" s="17"/>
    </row>
    <row r="133" spans="2:8" x14ac:dyDescent="0.25">
      <c r="B133" s="133" t="s">
        <v>242</v>
      </c>
      <c r="C133" s="146"/>
      <c r="D133" s="130"/>
      <c r="E133" s="105"/>
      <c r="F133" s="17"/>
      <c r="G133" s="17"/>
      <c r="H133" s="17"/>
    </row>
    <row r="134" spans="2:8" x14ac:dyDescent="0.25">
      <c r="B134" s="133" t="s">
        <v>243</v>
      </c>
      <c r="C134" s="146"/>
      <c r="D134" s="130"/>
      <c r="E134" s="105"/>
      <c r="F134" s="17"/>
      <c r="G134" s="17"/>
      <c r="H134" s="17"/>
    </row>
    <row r="135" spans="2:8" x14ac:dyDescent="0.25">
      <c r="B135" s="137" t="s">
        <v>103</v>
      </c>
      <c r="C135" s="147">
        <v>3</v>
      </c>
      <c r="D135" s="143"/>
      <c r="E135" s="105">
        <v>100</v>
      </c>
      <c r="F135" s="17"/>
      <c r="G135" s="17"/>
      <c r="H135" s="17"/>
    </row>
    <row r="136" spans="2:8" x14ac:dyDescent="0.25">
      <c r="B136" s="12"/>
      <c r="C136" s="12"/>
      <c r="D136" s="9"/>
      <c r="E136" s="9"/>
      <c r="F136" s="9"/>
      <c r="G136" s="9"/>
    </row>
    <row r="137" spans="2:8" ht="44.25" customHeight="1" x14ac:dyDescent="0.25">
      <c r="B137" s="33"/>
      <c r="C137" s="39" t="s">
        <v>30</v>
      </c>
      <c r="D137" s="39" t="s">
        <v>31</v>
      </c>
      <c r="E137" s="8" t="s">
        <v>104</v>
      </c>
      <c r="F137" s="8" t="s">
        <v>32</v>
      </c>
    </row>
    <row r="138" spans="2:8" x14ac:dyDescent="0.25">
      <c r="B138" s="32" t="s">
        <v>105</v>
      </c>
      <c r="C138" s="23">
        <v>63092</v>
      </c>
      <c r="D138" s="23">
        <v>50505.56</v>
      </c>
      <c r="E138" s="10"/>
      <c r="F138" s="20">
        <f>47767.93-15773</f>
        <v>31994.93</v>
      </c>
    </row>
    <row r="139" spans="2:8" x14ac:dyDescent="0.25">
      <c r="B139" s="32" t="s">
        <v>106</v>
      </c>
      <c r="C139" s="23">
        <v>0</v>
      </c>
      <c r="D139" s="23">
        <v>0</v>
      </c>
      <c r="E139" s="10"/>
      <c r="F139" s="20">
        <v>0</v>
      </c>
    </row>
    <row r="140" spans="2:8" x14ac:dyDescent="0.25">
      <c r="B140" s="33" t="s">
        <v>107</v>
      </c>
      <c r="C140" s="39">
        <f>SUM(C138:C139)</f>
        <v>63092</v>
      </c>
      <c r="D140" s="39">
        <f>SUM(D138:D139)</f>
        <v>50505.56</v>
      </c>
      <c r="E140" s="10"/>
      <c r="F140" s="39">
        <f>SUM(F138:F139)</f>
        <v>31994.93</v>
      </c>
    </row>
    <row r="142" spans="2:8" x14ac:dyDescent="0.25">
      <c r="B142" s="177" t="s">
        <v>108</v>
      </c>
      <c r="C142" s="178"/>
      <c r="D142" s="179"/>
      <c r="E142" s="196">
        <f>G106</f>
        <v>436574.14</v>
      </c>
      <c r="F142" s="197"/>
    </row>
    <row r="144" spans="2:8" x14ac:dyDescent="0.25">
      <c r="B144" s="198" t="s">
        <v>109</v>
      </c>
      <c r="C144" s="198"/>
      <c r="D144" s="198"/>
      <c r="E144" s="193"/>
      <c r="F144" s="193"/>
    </row>
    <row r="145" spans="2:8" x14ac:dyDescent="0.25">
      <c r="B145" s="192" t="s">
        <v>110</v>
      </c>
      <c r="C145" s="192"/>
      <c r="D145" s="192"/>
      <c r="E145" s="193"/>
      <c r="F145" s="193"/>
    </row>
    <row r="146" spans="2:8" x14ac:dyDescent="0.25">
      <c r="B146" s="192" t="s">
        <v>111</v>
      </c>
      <c r="C146" s="192"/>
      <c r="D146" s="192"/>
      <c r="E146" s="193"/>
      <c r="F146" s="193"/>
    </row>
    <row r="147" spans="2:8" x14ac:dyDescent="0.25">
      <c r="B147" s="192" t="s">
        <v>112</v>
      </c>
      <c r="C147" s="192"/>
      <c r="D147" s="192"/>
      <c r="E147" s="193"/>
      <c r="F147" s="193"/>
    </row>
    <row r="148" spans="2:8" x14ac:dyDescent="0.25">
      <c r="B148" s="192" t="s">
        <v>113</v>
      </c>
      <c r="C148" s="192"/>
      <c r="D148" s="192"/>
      <c r="E148" s="193"/>
      <c r="F148" s="193"/>
    </row>
    <row r="150" spans="2:8" x14ac:dyDescent="0.25">
      <c r="B150" s="177" t="s">
        <v>114</v>
      </c>
      <c r="C150" s="178"/>
      <c r="D150" s="179"/>
      <c r="E150" s="193"/>
      <c r="F150" s="193"/>
    </row>
    <row r="152" spans="2:8" hidden="1" x14ac:dyDescent="0.25">
      <c r="B152" s="181" t="s">
        <v>123</v>
      </c>
      <c r="C152" s="183"/>
      <c r="D152" s="23" t="s">
        <v>124</v>
      </c>
      <c r="E152" s="176" t="s">
        <v>122</v>
      </c>
      <c r="F152" s="176"/>
    </row>
    <row r="153" spans="2:8" hidden="1" x14ac:dyDescent="0.25">
      <c r="B153" s="181" t="s">
        <v>125</v>
      </c>
      <c r="C153" s="183"/>
      <c r="D153" s="23" t="s">
        <v>126</v>
      </c>
      <c r="E153" s="176" t="s">
        <v>122</v>
      </c>
      <c r="F153" s="176"/>
    </row>
    <row r="154" spans="2:8" ht="30" hidden="1" customHeight="1" x14ac:dyDescent="0.25">
      <c r="B154" s="174" t="s">
        <v>127</v>
      </c>
      <c r="C154" s="175"/>
      <c r="D154" s="23" t="s">
        <v>128</v>
      </c>
      <c r="E154" s="176" t="s">
        <v>122</v>
      </c>
      <c r="F154" s="176"/>
    </row>
    <row r="155" spans="2:8" ht="30" hidden="1" customHeight="1" x14ac:dyDescent="0.25">
      <c r="B155" s="174" t="s">
        <v>129</v>
      </c>
      <c r="C155" s="175"/>
      <c r="D155" s="23" t="s">
        <v>130</v>
      </c>
      <c r="E155" s="176"/>
      <c r="F155" s="176"/>
    </row>
    <row r="156" spans="2:8" ht="30" hidden="1" x14ac:dyDescent="0.25">
      <c r="B156" s="174" t="s">
        <v>131</v>
      </c>
      <c r="C156" s="175"/>
      <c r="D156" s="24" t="s">
        <v>132</v>
      </c>
      <c r="E156" s="176" t="s">
        <v>133</v>
      </c>
      <c r="F156" s="176"/>
    </row>
    <row r="157" spans="2:8" hidden="1" x14ac:dyDescent="0.25">
      <c r="B157" s="181" t="s">
        <v>134</v>
      </c>
      <c r="C157" s="183"/>
      <c r="D157" s="10" t="s">
        <v>135</v>
      </c>
      <c r="E157" s="176"/>
      <c r="F157" s="176"/>
    </row>
    <row r="158" spans="2:8" ht="30" hidden="1" customHeight="1" x14ac:dyDescent="0.25">
      <c r="B158" s="174" t="s">
        <v>136</v>
      </c>
      <c r="C158" s="175"/>
      <c r="D158" s="10" t="s">
        <v>137</v>
      </c>
      <c r="E158" s="176"/>
      <c r="F158" s="176"/>
    </row>
    <row r="159" spans="2:8" ht="30" hidden="1" customHeight="1" x14ac:dyDescent="0.25">
      <c r="B159" s="174" t="s">
        <v>138</v>
      </c>
      <c r="C159" s="175"/>
      <c r="D159" s="23" t="s">
        <v>139</v>
      </c>
      <c r="E159" s="176"/>
      <c r="F159" s="176"/>
    </row>
    <row r="160" spans="2:8" x14ac:dyDescent="0.25">
      <c r="B160" s="177" t="s">
        <v>74</v>
      </c>
      <c r="C160" s="178"/>
      <c r="D160" s="179"/>
      <c r="E160" s="180">
        <v>160</v>
      </c>
      <c r="F160" s="180"/>
      <c r="G160" s="25"/>
      <c r="H160" s="25"/>
    </row>
    <row r="161" spans="2:8" x14ac:dyDescent="0.25">
      <c r="B161" s="181" t="s">
        <v>75</v>
      </c>
      <c r="C161" s="182"/>
      <c r="D161" s="183"/>
      <c r="E161" s="176"/>
      <c r="F161" s="176"/>
      <c r="G161" s="26"/>
      <c r="H161" s="26"/>
    </row>
    <row r="162" spans="2:8" x14ac:dyDescent="0.25">
      <c r="B162" s="181" t="s">
        <v>76</v>
      </c>
      <c r="C162" s="182"/>
      <c r="D162" s="183"/>
      <c r="E162" s="184">
        <v>160</v>
      </c>
      <c r="F162" s="184"/>
      <c r="G162" s="27"/>
      <c r="H162" s="27"/>
    </row>
    <row r="163" spans="2:8" x14ac:dyDescent="0.25">
      <c r="B163" s="181" t="s">
        <v>77</v>
      </c>
      <c r="C163" s="182"/>
      <c r="D163" s="183"/>
      <c r="E163" s="184"/>
      <c r="F163" s="184"/>
      <c r="G163" s="27"/>
      <c r="H163" s="27"/>
    </row>
    <row r="164" spans="2:8" x14ac:dyDescent="0.25">
      <c r="B164" s="177" t="s">
        <v>78</v>
      </c>
      <c r="C164" s="178"/>
      <c r="D164" s="179"/>
      <c r="E164" s="180"/>
      <c r="F164" s="180"/>
      <c r="G164" s="25"/>
      <c r="H164" s="25"/>
    </row>
    <row r="165" spans="2:8" x14ac:dyDescent="0.25">
      <c r="B165" s="181" t="s">
        <v>79</v>
      </c>
      <c r="C165" s="182"/>
      <c r="D165" s="183"/>
      <c r="E165" s="184">
        <v>5400</v>
      </c>
      <c r="F165" s="184"/>
      <c r="G165" s="27"/>
      <c r="H165" s="27"/>
    </row>
    <row r="166" spans="2:8" x14ac:dyDescent="0.25">
      <c r="B166" s="177" t="s">
        <v>80</v>
      </c>
      <c r="C166" s="178"/>
      <c r="D166" s="179"/>
      <c r="E166" s="184"/>
      <c r="F166" s="184"/>
      <c r="G166" s="27"/>
      <c r="H166" s="27"/>
    </row>
    <row r="167" spans="2:8" x14ac:dyDescent="0.25">
      <c r="B167" s="16"/>
      <c r="C167" s="16"/>
      <c r="D167" s="16"/>
      <c r="E167" s="17"/>
      <c r="F167" s="17"/>
      <c r="G167" s="17"/>
      <c r="H167" s="17"/>
    </row>
    <row r="168" spans="2:8" ht="36" customHeight="1" x14ac:dyDescent="0.25">
      <c r="B168" s="185" t="s">
        <v>115</v>
      </c>
      <c r="C168" s="186"/>
      <c r="D168" s="186"/>
      <c r="E168" s="186"/>
      <c r="F168" s="21" t="s">
        <v>116</v>
      </c>
    </row>
    <row r="169" spans="2:8" ht="14.45" customHeight="1" x14ac:dyDescent="0.25">
      <c r="B169" s="187" t="s">
        <v>117</v>
      </c>
      <c r="C169" s="188" t="s">
        <v>118</v>
      </c>
      <c r="D169" s="190" t="s">
        <v>119</v>
      </c>
      <c r="E169" s="191"/>
      <c r="F169" s="4"/>
    </row>
    <row r="170" spans="2:8" x14ac:dyDescent="0.25">
      <c r="B170" s="187"/>
      <c r="C170" s="189"/>
      <c r="D170" s="22" t="s">
        <v>120</v>
      </c>
      <c r="E170" s="22" t="s">
        <v>121</v>
      </c>
      <c r="F170" s="4"/>
    </row>
    <row r="171" spans="2:8" x14ac:dyDescent="0.25">
      <c r="B171" s="35"/>
      <c r="C171" s="34"/>
      <c r="D171" s="4"/>
      <c r="E171" s="4"/>
      <c r="F171" s="4"/>
    </row>
    <row r="172" spans="2:8" x14ac:dyDescent="0.25">
      <c r="B172" s="35"/>
      <c r="C172" s="35"/>
      <c r="D172" s="4"/>
      <c r="E172" s="4"/>
      <c r="F172" s="4"/>
    </row>
    <row r="173" spans="2:8" x14ac:dyDescent="0.25">
      <c r="B173" s="120"/>
      <c r="C173" s="120"/>
      <c r="D173" s="121"/>
      <c r="E173" s="121"/>
      <c r="F173" s="121"/>
    </row>
    <row r="174" spans="2:8" x14ac:dyDescent="0.25">
      <c r="B174" s="120" t="s">
        <v>247</v>
      </c>
      <c r="C174" s="120"/>
      <c r="D174" s="121" t="s">
        <v>248</v>
      </c>
      <c r="E174" s="121"/>
      <c r="F174" s="121"/>
    </row>
    <row r="175" spans="2:8" x14ac:dyDescent="0.25">
      <c r="B175" s="120"/>
      <c r="C175" s="120"/>
      <c r="D175" s="121"/>
      <c r="E175" s="121"/>
      <c r="F175" s="121"/>
    </row>
  </sheetData>
  <mergeCells count="167">
    <mergeCell ref="B11:D11"/>
    <mergeCell ref="E11:G11"/>
    <mergeCell ref="B22:C22"/>
    <mergeCell ref="B23:C23"/>
    <mergeCell ref="B17:D17"/>
    <mergeCell ref="E17:G17"/>
    <mergeCell ref="B12:D12"/>
    <mergeCell ref="E12:G12"/>
    <mergeCell ref="B13:D13"/>
    <mergeCell ref="E13:G13"/>
    <mergeCell ref="B14:D14"/>
    <mergeCell ref="B16:D16"/>
    <mergeCell ref="E16:G16"/>
    <mergeCell ref="B19:G19"/>
    <mergeCell ref="B20:C21"/>
    <mergeCell ref="D20:D21"/>
    <mergeCell ref="E20:G20"/>
    <mergeCell ref="E14:G14"/>
    <mergeCell ref="B15:D15"/>
    <mergeCell ref="E15:G15"/>
    <mergeCell ref="B2:H2"/>
    <mergeCell ref="A3:H3"/>
    <mergeCell ref="A5:G5"/>
    <mergeCell ref="A6:G6"/>
    <mergeCell ref="B8:D8"/>
    <mergeCell ref="E8:G8"/>
    <mergeCell ref="B9:D9"/>
    <mergeCell ref="E9:G9"/>
    <mergeCell ref="B10:D10"/>
    <mergeCell ref="E10:G10"/>
    <mergeCell ref="B35:D35"/>
    <mergeCell ref="B36:D36"/>
    <mergeCell ref="B24:C24"/>
    <mergeCell ref="B25:C25"/>
    <mergeCell ref="B26:C26"/>
    <mergeCell ref="B28:G28"/>
    <mergeCell ref="B29:G29"/>
    <mergeCell ref="B30:D30"/>
    <mergeCell ref="B31:D31"/>
    <mergeCell ref="B33:D33"/>
    <mergeCell ref="B34:C34"/>
    <mergeCell ref="B32:D32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50:C50"/>
    <mergeCell ref="B51:C51"/>
    <mergeCell ref="B48:C48"/>
    <mergeCell ref="B49:C49"/>
    <mergeCell ref="B44:C44"/>
    <mergeCell ref="B45:C45"/>
    <mergeCell ref="B46:C46"/>
    <mergeCell ref="B47:C47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1:C71"/>
    <mergeCell ref="B76:C76"/>
    <mergeCell ref="B77:C77"/>
    <mergeCell ref="B68:C68"/>
    <mergeCell ref="B69:C69"/>
    <mergeCell ref="B67:C67"/>
    <mergeCell ref="B66:C66"/>
    <mergeCell ref="B64:C64"/>
    <mergeCell ref="B65:C65"/>
    <mergeCell ref="B70:C70"/>
    <mergeCell ref="B72:C72"/>
    <mergeCell ref="B73:C73"/>
    <mergeCell ref="B74:C74"/>
    <mergeCell ref="B75:C75"/>
    <mergeCell ref="B78:C78"/>
    <mergeCell ref="B79:C79"/>
    <mergeCell ref="B80:C80"/>
    <mergeCell ref="B81:C81"/>
    <mergeCell ref="B82:C82"/>
    <mergeCell ref="B83:C83"/>
    <mergeCell ref="B84:C84"/>
    <mergeCell ref="B85:C85"/>
    <mergeCell ref="B94:G94"/>
    <mergeCell ref="B86:C86"/>
    <mergeCell ref="B87:C87"/>
    <mergeCell ref="B88:C88"/>
    <mergeCell ref="B89:C89"/>
    <mergeCell ref="B90:C90"/>
    <mergeCell ref="B91:C91"/>
    <mergeCell ref="B92:C92"/>
    <mergeCell ref="B102:C102"/>
    <mergeCell ref="B103:C103"/>
    <mergeCell ref="B105:C105"/>
    <mergeCell ref="B106:C106"/>
    <mergeCell ref="B147:D147"/>
    <mergeCell ref="E147:F147"/>
    <mergeCell ref="B153:C153"/>
    <mergeCell ref="E153:F153"/>
    <mergeCell ref="B95:C95"/>
    <mergeCell ref="B96:C96"/>
    <mergeCell ref="B97:C97"/>
    <mergeCell ref="B98:C98"/>
    <mergeCell ref="B99:C99"/>
    <mergeCell ref="B108:F108"/>
    <mergeCell ref="B109:B110"/>
    <mergeCell ref="C109:D109"/>
    <mergeCell ref="E109:E110"/>
    <mergeCell ref="F109:F110"/>
    <mergeCell ref="B100:C100"/>
    <mergeCell ref="B101:C101"/>
    <mergeCell ref="B154:C154"/>
    <mergeCell ref="E154:F154"/>
    <mergeCell ref="G109:G110"/>
    <mergeCell ref="H109:H110"/>
    <mergeCell ref="B142:D142"/>
    <mergeCell ref="E142:F142"/>
    <mergeCell ref="B144:D144"/>
    <mergeCell ref="E144:F144"/>
    <mergeCell ref="B148:D148"/>
    <mergeCell ref="E148:F148"/>
    <mergeCell ref="B150:D150"/>
    <mergeCell ref="E150:F150"/>
    <mergeCell ref="B152:C152"/>
    <mergeCell ref="E152:F152"/>
    <mergeCell ref="B146:D146"/>
    <mergeCell ref="E146:F146"/>
    <mergeCell ref="B145:D145"/>
    <mergeCell ref="E145:F145"/>
    <mergeCell ref="B155:C155"/>
    <mergeCell ref="E155:F155"/>
    <mergeCell ref="B158:C158"/>
    <mergeCell ref="E158:F158"/>
    <mergeCell ref="B159:C159"/>
    <mergeCell ref="E159:F159"/>
    <mergeCell ref="B156:C156"/>
    <mergeCell ref="E156:F156"/>
    <mergeCell ref="B157:C157"/>
    <mergeCell ref="E157:F157"/>
    <mergeCell ref="B161:D161"/>
    <mergeCell ref="E161:F161"/>
    <mergeCell ref="B162:D162"/>
    <mergeCell ref="E162:F162"/>
    <mergeCell ref="B163:D163"/>
    <mergeCell ref="E163:F163"/>
    <mergeCell ref="B168:E168"/>
    <mergeCell ref="B160:D160"/>
    <mergeCell ref="E160:F160"/>
    <mergeCell ref="B169:B170"/>
    <mergeCell ref="C169:C170"/>
    <mergeCell ref="D169:E169"/>
    <mergeCell ref="B165:D165"/>
    <mergeCell ref="E165:F165"/>
    <mergeCell ref="B166:D166"/>
    <mergeCell ref="E166:F166"/>
    <mergeCell ref="B164:D164"/>
    <mergeCell ref="E164:F164"/>
  </mergeCells>
  <phoneticPr fontId="11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1" manualBreakCount="1">
    <brk id="7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4"/>
  <sheetViews>
    <sheetView view="pageBreakPreview" topLeftCell="A14" zoomScale="70" zoomScaleSheetLayoutView="70" workbookViewId="0">
      <selection activeCell="F30" sqref="F30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140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171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3635.6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3367.6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268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3532.7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162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79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196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76" t="s">
        <v>20</v>
      </c>
      <c r="F21" s="76" t="s">
        <v>21</v>
      </c>
      <c r="G21" s="76" t="s">
        <v>19</v>
      </c>
      <c r="H21" s="31"/>
    </row>
    <row r="22" spans="1:8" x14ac:dyDescent="0.25">
      <c r="B22" s="223" t="s">
        <v>22</v>
      </c>
      <c r="C22" s="224"/>
      <c r="D22" s="7">
        <f>E22</f>
        <v>44245.95</v>
      </c>
      <c r="E22" s="7">
        <v>44245.95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1325927.57</v>
      </c>
      <c r="E23" s="45">
        <f>E38+D95+C139</f>
        <v>588566.62</v>
      </c>
      <c r="F23" s="7">
        <f>D96+D97+D98+D99+D100+D101+D102+D103</f>
        <v>132793.48000000001</v>
      </c>
      <c r="G23" s="7">
        <f>F110+F111+F112+F113+F114+F115</f>
        <v>604567.47000000009</v>
      </c>
      <c r="H23" s="2"/>
    </row>
    <row r="24" spans="1:8" x14ac:dyDescent="0.25">
      <c r="B24" s="223" t="s">
        <v>24</v>
      </c>
      <c r="C24" s="224"/>
      <c r="D24" s="43">
        <f>E24+F24+G24</f>
        <v>1177344.0499999998</v>
      </c>
      <c r="E24" s="45">
        <f>F38+E95+D137+D138</f>
        <v>562912.90999999992</v>
      </c>
      <c r="F24" s="7">
        <f>E96+E97+E99+E100+E103+E98+E101+E102</f>
        <v>133785.85999999999</v>
      </c>
      <c r="G24" s="7">
        <f>G116</f>
        <v>480645.28</v>
      </c>
      <c r="H24" s="2"/>
    </row>
    <row r="25" spans="1:8" x14ac:dyDescent="0.25">
      <c r="B25" s="223" t="s">
        <v>25</v>
      </c>
      <c r="C25" s="224"/>
      <c r="D25" s="7">
        <f>E25+F25+G25</f>
        <v>1077384.6600000001</v>
      </c>
      <c r="E25" s="7">
        <f>D139+395166.6</f>
        <v>462953.52</v>
      </c>
      <c r="F25" s="7">
        <f>F24</f>
        <v>133785.85999999999</v>
      </c>
      <c r="G25" s="7">
        <f>G24</f>
        <v>480645.28</v>
      </c>
      <c r="H25" s="2"/>
    </row>
    <row r="26" spans="1:8" x14ac:dyDescent="0.25">
      <c r="B26" s="223" t="s">
        <v>250</v>
      </c>
      <c r="C26" s="224"/>
      <c r="D26" s="7">
        <f>E26+F26+G26</f>
        <v>364390.38999999996</v>
      </c>
      <c r="E26" s="45">
        <f>G38+G95+F139</f>
        <v>86463.360000000001</v>
      </c>
      <c r="F26" s="45">
        <f>G104-G95</f>
        <v>38283.360000000008</v>
      </c>
      <c r="G26" s="45">
        <f>H116</f>
        <v>239643.66999999995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28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79" t="s">
        <v>30</v>
      </c>
      <c r="F30" s="78" t="s">
        <v>31</v>
      </c>
      <c r="G30" s="77" t="s">
        <v>32</v>
      </c>
      <c r="H30" s="9"/>
    </row>
    <row r="31" spans="1:8" x14ac:dyDescent="0.25">
      <c r="B31" s="174" t="s">
        <v>33</v>
      </c>
      <c r="C31" s="212"/>
      <c r="D31" s="175"/>
      <c r="E31" s="75">
        <v>62234.28</v>
      </c>
      <c r="F31" s="40">
        <v>61244.61</v>
      </c>
      <c r="G31" s="75">
        <f>11794.15-5489.18</f>
        <v>6304.9699999999993</v>
      </c>
      <c r="H31" s="5"/>
    </row>
    <row r="32" spans="1:8" x14ac:dyDescent="0.25">
      <c r="B32" s="174" t="s">
        <v>34</v>
      </c>
      <c r="C32" s="212"/>
      <c r="D32" s="175"/>
      <c r="E32" s="75">
        <v>82438.62</v>
      </c>
      <c r="F32" s="40">
        <v>81543.38</v>
      </c>
      <c r="G32" s="75">
        <f>15701.3-7139.3</f>
        <v>8562</v>
      </c>
      <c r="H32" s="5"/>
    </row>
    <row r="33" spans="2:8" x14ac:dyDescent="0.25">
      <c r="B33" s="174" t="s">
        <v>35</v>
      </c>
      <c r="C33" s="212"/>
      <c r="D33" s="175"/>
      <c r="E33" s="75">
        <v>50110.74</v>
      </c>
      <c r="F33" s="40">
        <v>49387.73</v>
      </c>
      <c r="G33" s="75">
        <f>9748.83-4411.62</f>
        <v>5337.21</v>
      </c>
      <c r="H33" s="5"/>
    </row>
    <row r="34" spans="2:8" hidden="1" x14ac:dyDescent="0.25">
      <c r="B34" s="174" t="s">
        <v>36</v>
      </c>
      <c r="C34" s="175"/>
      <c r="D34" s="71"/>
      <c r="E34" s="75"/>
      <c r="F34" s="40"/>
      <c r="G34" s="75"/>
      <c r="H34" s="5"/>
    </row>
    <row r="35" spans="2:8" x14ac:dyDescent="0.25">
      <c r="B35" s="174" t="s">
        <v>37</v>
      </c>
      <c r="C35" s="212"/>
      <c r="D35" s="175"/>
      <c r="E35" s="75">
        <v>120218.08</v>
      </c>
      <c r="F35" s="40">
        <v>116842.58</v>
      </c>
      <c r="G35" s="75">
        <f>24495.76-10774.92</f>
        <v>13720.839999999998</v>
      </c>
      <c r="H35" s="5"/>
    </row>
    <row r="36" spans="2:8" x14ac:dyDescent="0.25">
      <c r="B36" s="174" t="s">
        <v>38</v>
      </c>
      <c r="C36" s="212"/>
      <c r="D36" s="175"/>
      <c r="E36" s="75">
        <v>84803.46</v>
      </c>
      <c r="F36" s="40">
        <f>82104.65+546.24</f>
        <v>82650.89</v>
      </c>
      <c r="G36" s="75">
        <f>14049.9+1836.96+3103.21-9043.68</f>
        <v>9946.39</v>
      </c>
      <c r="H36" s="5"/>
    </row>
    <row r="37" spans="2:8" ht="30" customHeight="1" x14ac:dyDescent="0.25">
      <c r="B37" s="174" t="s">
        <v>39</v>
      </c>
      <c r="C37" s="212"/>
      <c r="D37" s="175"/>
      <c r="E37" s="75">
        <v>82182.8</v>
      </c>
      <c r="F37" s="40">
        <f>79807.99+325.89</f>
        <v>80133.88</v>
      </c>
      <c r="G37" s="75">
        <f>13824.73+3139.42-7277.33</f>
        <v>9686.8200000000015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481987.98</v>
      </c>
      <c r="F38" s="41">
        <f>SUM(F31:F37)</f>
        <v>471803.07</v>
      </c>
      <c r="G38" s="41">
        <f>SUM(G31:G37)</f>
        <v>53558.229999999996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194783.63999999998</v>
      </c>
      <c r="G44" s="123"/>
      <c r="H44" s="123">
        <f t="shared" ref="H44" si="0">H45+H46+H47</f>
        <v>134216.1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62234.28</v>
      </c>
      <c r="G45" s="112"/>
      <c r="H45" s="105">
        <f>32326.1-8239.68</f>
        <v>24086.42</v>
      </c>
    </row>
    <row r="46" spans="2:8" x14ac:dyDescent="0.25">
      <c r="B46" s="210" t="s">
        <v>49</v>
      </c>
      <c r="C46" s="211"/>
      <c r="D46" s="75">
        <v>2014</v>
      </c>
      <c r="E46" s="10"/>
      <c r="F46" s="105">
        <f>E32</f>
        <v>82438.62</v>
      </c>
      <c r="G46" s="112"/>
      <c r="H46" s="105">
        <f>70928.3-11098.56</f>
        <v>59829.740000000005</v>
      </c>
    </row>
    <row r="47" spans="2:8" x14ac:dyDescent="0.25">
      <c r="B47" s="174" t="s">
        <v>35</v>
      </c>
      <c r="C47" s="175"/>
      <c r="D47" s="75">
        <v>2014</v>
      </c>
      <c r="E47" s="10"/>
      <c r="F47" s="105">
        <f>E33</f>
        <v>50110.74</v>
      </c>
      <c r="G47" s="112"/>
      <c r="H47" s="105">
        <f>56955.6-6655.66</f>
        <v>50299.94</v>
      </c>
    </row>
    <row r="48" spans="2:8" hidden="1" x14ac:dyDescent="0.25">
      <c r="B48" s="174" t="s">
        <v>36</v>
      </c>
      <c r="C48" s="175"/>
      <c r="D48" s="75"/>
      <c r="E48" s="10"/>
      <c r="F48" s="14"/>
      <c r="G48" s="10"/>
      <c r="H48" s="14"/>
    </row>
    <row r="49" spans="2:8" x14ac:dyDescent="0.25">
      <c r="B49" s="202" t="s">
        <v>65</v>
      </c>
      <c r="C49" s="203"/>
      <c r="D49" s="75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268</v>
      </c>
      <c r="F51" s="151">
        <f>8740.8+200</f>
        <v>8940.7999999999993</v>
      </c>
      <c r="G51" s="150" t="s">
        <v>268</v>
      </c>
      <c r="H51" s="151">
        <f>8740.8+200</f>
        <v>8940.7999999999993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2055</v>
      </c>
      <c r="G52" s="149" t="s">
        <v>267</v>
      </c>
      <c r="H52" s="152">
        <v>2406.3200000000002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1020+3340.34</f>
        <v>4360.34</v>
      </c>
      <c r="G53" s="149" t="s">
        <v>267</v>
      </c>
      <c r="H53" s="152">
        <f>829.15+3212.3</f>
        <v>4041.4500000000003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ht="15" customHeight="1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x14ac:dyDescent="0.25">
      <c r="B60" s="208" t="s">
        <v>69</v>
      </c>
      <c r="C60" s="209"/>
      <c r="D60" s="108" t="s">
        <v>272</v>
      </c>
      <c r="E60" s="161" t="s">
        <v>321</v>
      </c>
      <c r="F60" s="152">
        <v>8100</v>
      </c>
      <c r="G60" s="161" t="s">
        <v>321</v>
      </c>
      <c r="H60" s="152">
        <v>8100</v>
      </c>
    </row>
    <row r="61" spans="2:8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x14ac:dyDescent="0.25">
      <c r="B64" s="208" t="s">
        <v>305</v>
      </c>
      <c r="C64" s="209"/>
      <c r="D64" s="150"/>
      <c r="E64" s="150" t="s">
        <v>322</v>
      </c>
      <c r="F64" s="151">
        <v>420</v>
      </c>
      <c r="G64" s="150" t="s">
        <v>322</v>
      </c>
      <c r="H64" s="151">
        <v>420</v>
      </c>
    </row>
    <row r="65" spans="2:8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8" ht="39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8" ht="39.7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8" ht="35.2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8" ht="85.5" customHeight="1" x14ac:dyDescent="0.25">
      <c r="B69" s="208" t="s">
        <v>54</v>
      </c>
      <c r="C69" s="209"/>
      <c r="D69" s="150" t="s">
        <v>266</v>
      </c>
      <c r="E69" s="150" t="s">
        <v>271</v>
      </c>
      <c r="F69" s="168">
        <v>6535.47</v>
      </c>
      <c r="G69" s="150" t="s">
        <v>271</v>
      </c>
      <c r="H69" s="168">
        <v>6295.77</v>
      </c>
    </row>
    <row r="70" spans="2:8" x14ac:dyDescent="0.25">
      <c r="B70" s="208" t="s">
        <v>55</v>
      </c>
      <c r="C70" s="209"/>
      <c r="D70" s="108" t="s">
        <v>266</v>
      </c>
      <c r="E70" s="108" t="s">
        <v>323</v>
      </c>
      <c r="F70" s="152">
        <v>4312</v>
      </c>
      <c r="G70" s="108"/>
      <c r="H70" s="152">
        <f>13411.85</f>
        <v>13411.85</v>
      </c>
    </row>
    <row r="71" spans="2:8" x14ac:dyDescent="0.25">
      <c r="B71" s="208" t="s">
        <v>56</v>
      </c>
      <c r="C71" s="209"/>
      <c r="D71" s="108" t="s">
        <v>266</v>
      </c>
      <c r="E71" s="108" t="s">
        <v>271</v>
      </c>
      <c r="F71" s="152">
        <v>14280.72</v>
      </c>
      <c r="G71" s="108" t="s">
        <v>271</v>
      </c>
      <c r="H71" s="152">
        <v>14280.72</v>
      </c>
    </row>
    <row r="72" spans="2:8" ht="15" customHeight="1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</row>
    <row r="73" spans="2:8" ht="15" customHeight="1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8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8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8" ht="38.25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8" ht="33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8" ht="70.5" customHeight="1" x14ac:dyDescent="0.25">
      <c r="B78" s="208" t="s">
        <v>62</v>
      </c>
      <c r="C78" s="209"/>
      <c r="D78" s="150" t="s">
        <v>266</v>
      </c>
      <c r="E78" s="150" t="s">
        <v>271</v>
      </c>
      <c r="F78" s="151">
        <f>6997.58+4937.91+3432.77-45.01</f>
        <v>15323.25</v>
      </c>
      <c r="G78" s="150" t="s">
        <v>271</v>
      </c>
      <c r="H78" s="151">
        <f>7063.59+4944.51+3461.15</f>
        <v>15469.25</v>
      </c>
    </row>
    <row r="79" spans="2:8" ht="15.75" customHeight="1" x14ac:dyDescent="0.25">
      <c r="B79" s="208" t="s">
        <v>290</v>
      </c>
      <c r="C79" s="209"/>
      <c r="D79" s="108" t="s">
        <v>291</v>
      </c>
      <c r="E79" s="161" t="s">
        <v>324</v>
      </c>
      <c r="F79" s="152">
        <f>19404+6495.88+564</f>
        <v>26463.88</v>
      </c>
      <c r="G79" s="108" t="s">
        <v>325</v>
      </c>
      <c r="H79" s="152">
        <f>6428.83+13332.55+3165.3</f>
        <v>22926.679999999997</v>
      </c>
    </row>
    <row r="80" spans="2:8" ht="16.5" customHeight="1" x14ac:dyDescent="0.25">
      <c r="B80" s="208" t="s">
        <v>282</v>
      </c>
      <c r="C80" s="209"/>
      <c r="D80" s="108"/>
      <c r="E80" s="108"/>
      <c r="F80" s="154"/>
      <c r="G80" s="108"/>
      <c r="H80" s="152"/>
    </row>
    <row r="81" spans="2:11" ht="15.75" customHeight="1" x14ac:dyDescent="0.25">
      <c r="B81" s="243" t="s">
        <v>63</v>
      </c>
      <c r="C81" s="244"/>
      <c r="D81" s="153"/>
      <c r="E81" s="108" t="s">
        <v>271</v>
      </c>
      <c r="F81" s="152">
        <v>12923.27</v>
      </c>
      <c r="G81" s="108" t="s">
        <v>271</v>
      </c>
      <c r="H81" s="152">
        <v>12923.27</v>
      </c>
    </row>
    <row r="82" spans="2:11" x14ac:dyDescent="0.25">
      <c r="B82" s="243" t="s">
        <v>64</v>
      </c>
      <c r="C82" s="244"/>
      <c r="D82" s="108"/>
      <c r="E82" s="108" t="s">
        <v>271</v>
      </c>
      <c r="F82" s="152">
        <v>10958.47</v>
      </c>
      <c r="G82" s="108" t="s">
        <v>271</v>
      </c>
      <c r="H82" s="152">
        <v>10715.97</v>
      </c>
    </row>
    <row r="83" spans="2:11" x14ac:dyDescent="0.25">
      <c r="B83" s="243" t="s">
        <v>294</v>
      </c>
      <c r="C83" s="244"/>
      <c r="D83" s="108"/>
      <c r="E83" s="108"/>
      <c r="F83" s="162"/>
      <c r="G83" s="163"/>
      <c r="H83" s="162"/>
    </row>
    <row r="84" spans="2:11" x14ac:dyDescent="0.25">
      <c r="B84" s="208" t="s">
        <v>295</v>
      </c>
      <c r="C84" s="209"/>
      <c r="D84" s="153" t="s">
        <v>296</v>
      </c>
      <c r="E84" s="108"/>
      <c r="F84" s="152"/>
      <c r="G84" s="108"/>
      <c r="H84" s="152"/>
    </row>
    <row r="85" spans="2:11" x14ac:dyDescent="0.25">
      <c r="B85" s="208" t="s">
        <v>71</v>
      </c>
      <c r="C85" s="209"/>
      <c r="D85" s="153" t="s">
        <v>297</v>
      </c>
      <c r="E85" s="108"/>
      <c r="F85" s="152"/>
      <c r="G85" s="108"/>
      <c r="H85" s="152"/>
      <c r="K85" s="5"/>
    </row>
    <row r="86" spans="2:11" x14ac:dyDescent="0.25">
      <c r="B86" s="208" t="s">
        <v>72</v>
      </c>
      <c r="C86" s="209"/>
      <c r="D86" s="108" t="s">
        <v>299</v>
      </c>
      <c r="E86" s="108" t="s">
        <v>326</v>
      </c>
      <c r="F86" s="152">
        <v>1551.61</v>
      </c>
      <c r="G86" s="108" t="s">
        <v>326</v>
      </c>
      <c r="H86" s="152">
        <v>1551.61</v>
      </c>
    </row>
    <row r="87" spans="2:11" ht="15" customHeight="1" x14ac:dyDescent="0.25">
      <c r="B87" s="208" t="s">
        <v>301</v>
      </c>
      <c r="C87" s="209"/>
      <c r="D87" s="108" t="s">
        <v>291</v>
      </c>
      <c r="E87" s="108" t="s">
        <v>271</v>
      </c>
      <c r="F87" s="152">
        <v>12206.15</v>
      </c>
      <c r="G87" s="108" t="s">
        <v>271</v>
      </c>
      <c r="H87" s="161">
        <v>12206.15</v>
      </c>
    </row>
    <row r="88" spans="2:11" ht="20.25" customHeight="1" x14ac:dyDescent="0.25">
      <c r="B88" s="208" t="s">
        <v>282</v>
      </c>
      <c r="C88" s="209"/>
      <c r="D88" s="108"/>
      <c r="E88" s="108"/>
      <c r="F88" s="154"/>
      <c r="G88" s="108"/>
      <c r="H88" s="154"/>
    </row>
    <row r="89" spans="2:11" ht="18" customHeight="1" x14ac:dyDescent="0.25">
      <c r="B89" s="208" t="s">
        <v>302</v>
      </c>
      <c r="C89" s="209"/>
      <c r="D89" s="108" t="s">
        <v>291</v>
      </c>
      <c r="E89" s="108" t="s">
        <v>327</v>
      </c>
      <c r="F89" s="152">
        <v>5413.25</v>
      </c>
      <c r="G89" s="108" t="s">
        <v>327</v>
      </c>
      <c r="H89" s="152">
        <v>4453.13</v>
      </c>
    </row>
    <row r="90" spans="2:11" ht="37.5" customHeight="1" x14ac:dyDescent="0.25">
      <c r="B90" s="208" t="s">
        <v>320</v>
      </c>
      <c r="C90" s="209"/>
      <c r="D90" s="108"/>
      <c r="E90" s="108"/>
      <c r="F90" s="152">
        <v>64950</v>
      </c>
      <c r="G90" s="108"/>
      <c r="H90" s="152">
        <v>64950</v>
      </c>
    </row>
    <row r="91" spans="2:11" x14ac:dyDescent="0.25">
      <c r="B91" s="206" t="s">
        <v>73</v>
      </c>
      <c r="C91" s="207"/>
      <c r="D91" s="108"/>
      <c r="E91" s="108"/>
      <c r="F91" s="165">
        <v>358100</v>
      </c>
      <c r="G91" s="165"/>
      <c r="H91" s="165">
        <f>395166.6-39068.7</f>
        <v>356097.89999999997</v>
      </c>
    </row>
    <row r="92" spans="2:11" x14ac:dyDescent="0.25">
      <c r="B92" s="9"/>
      <c r="C92" s="9"/>
      <c r="D92" s="5"/>
      <c r="E92" s="5"/>
      <c r="F92" s="15"/>
      <c r="G92" s="5"/>
      <c r="H92" s="15"/>
    </row>
    <row r="93" spans="2:11" x14ac:dyDescent="0.25">
      <c r="B93" s="201" t="s">
        <v>81</v>
      </c>
      <c r="C93" s="201"/>
      <c r="D93" s="201"/>
      <c r="E93" s="201"/>
      <c r="F93" s="201"/>
      <c r="G93" s="201"/>
    </row>
    <row r="94" spans="2:11" ht="63" customHeight="1" x14ac:dyDescent="0.25">
      <c r="B94" s="194" t="s">
        <v>29</v>
      </c>
      <c r="C94" s="194"/>
      <c r="D94" s="79" t="s">
        <v>30</v>
      </c>
      <c r="E94" s="79" t="s">
        <v>31</v>
      </c>
      <c r="F94" s="77" t="s">
        <v>82</v>
      </c>
      <c r="G94" s="77" t="s">
        <v>32</v>
      </c>
    </row>
    <row r="95" spans="2:11" x14ac:dyDescent="0.25">
      <c r="B95" s="181" t="s">
        <v>83</v>
      </c>
      <c r="C95" s="183"/>
      <c r="D95" s="75">
        <v>36316.44</v>
      </c>
      <c r="E95" s="75">
        <v>23322.92</v>
      </c>
      <c r="F95" s="75">
        <f>E95</f>
        <v>23322.92</v>
      </c>
      <c r="G95" s="80">
        <f>19439.08-9079.11</f>
        <v>10359.970000000001</v>
      </c>
    </row>
    <row r="96" spans="2:11" x14ac:dyDescent="0.25">
      <c r="B96" s="181" t="s">
        <v>84</v>
      </c>
      <c r="C96" s="183"/>
      <c r="D96" s="75">
        <f>20823.25-616.35+5639.8-173+6438.5-173.8+10800.12</f>
        <v>42738.520000000004</v>
      </c>
      <c r="E96" s="75">
        <f>20770.22+5661.6+6352.04+10748.58</f>
        <v>43532.44</v>
      </c>
      <c r="F96" s="75">
        <f t="shared" ref="F96:F103" si="1">E96</f>
        <v>43532.44</v>
      </c>
      <c r="G96" s="80">
        <f>9406.96+2293.57+2283.35-5161.1-1397.84-1595.8+1486.58-935.26</f>
        <v>6380.4599999999982</v>
      </c>
    </row>
    <row r="97" spans="2:8" ht="30" customHeight="1" x14ac:dyDescent="0.25">
      <c r="B97" s="174" t="s">
        <v>85</v>
      </c>
      <c r="C97" s="175"/>
      <c r="D97" s="75">
        <v>12717.72</v>
      </c>
      <c r="E97" s="75">
        <v>12274.53</v>
      </c>
      <c r="F97" s="75">
        <f t="shared" si="1"/>
        <v>12274.53</v>
      </c>
      <c r="G97" s="80">
        <f>6820.29-3179.43</f>
        <v>3640.86</v>
      </c>
    </row>
    <row r="98" spans="2:8" ht="30" customHeight="1" x14ac:dyDescent="0.25">
      <c r="B98" s="174" t="s">
        <v>86</v>
      </c>
      <c r="C98" s="175"/>
      <c r="D98" s="75">
        <v>3250.08</v>
      </c>
      <c r="E98" s="75">
        <v>3144.86</v>
      </c>
      <c r="F98" s="75">
        <f t="shared" si="1"/>
        <v>3144.86</v>
      </c>
      <c r="G98" s="80">
        <f>1649.11-812.52</f>
        <v>836.58999999999992</v>
      </c>
    </row>
    <row r="99" spans="2:8" x14ac:dyDescent="0.25">
      <c r="B99" s="174" t="s">
        <v>87</v>
      </c>
      <c r="C99" s="175"/>
      <c r="D99" s="75">
        <v>47055.56</v>
      </c>
      <c r="E99" s="75">
        <f>324.08+44887.55</f>
        <v>45211.630000000005</v>
      </c>
      <c r="F99" s="75">
        <f t="shared" si="1"/>
        <v>45211.630000000005</v>
      </c>
      <c r="G99" s="80">
        <f>6473.96+23770.85-11763.89</f>
        <v>18480.919999999998</v>
      </c>
    </row>
    <row r="100" spans="2:8" x14ac:dyDescent="0.25">
      <c r="B100" s="174" t="s">
        <v>88</v>
      </c>
      <c r="C100" s="175"/>
      <c r="D100" s="75">
        <v>2260.8000000000002</v>
      </c>
      <c r="E100" s="75">
        <v>2177.7600000000002</v>
      </c>
      <c r="F100" s="75">
        <f t="shared" si="1"/>
        <v>2177.7600000000002</v>
      </c>
      <c r="G100" s="80">
        <f>1286.21-565.2</f>
        <v>721.01</v>
      </c>
    </row>
    <row r="101" spans="2:8" x14ac:dyDescent="0.25">
      <c r="B101" s="174" t="s">
        <v>150</v>
      </c>
      <c r="C101" s="175"/>
      <c r="D101" s="75">
        <v>10640</v>
      </c>
      <c r="E101" s="75">
        <f>10922.81+0.21</f>
        <v>10923.019999999999</v>
      </c>
      <c r="F101" s="75">
        <f t="shared" si="1"/>
        <v>10923.019999999999</v>
      </c>
      <c r="G101" s="80">
        <f>4559.34+334.99-2660</f>
        <v>2234.33</v>
      </c>
    </row>
    <row r="102" spans="2:8" x14ac:dyDescent="0.25">
      <c r="B102" s="174" t="s">
        <v>89</v>
      </c>
      <c r="C102" s="175"/>
      <c r="D102" s="75"/>
      <c r="E102" s="75"/>
      <c r="F102" s="75">
        <f t="shared" si="1"/>
        <v>0</v>
      </c>
      <c r="G102" s="80"/>
    </row>
    <row r="103" spans="2:8" ht="30" x14ac:dyDescent="0.25">
      <c r="B103" s="72" t="s">
        <v>81</v>
      </c>
      <c r="C103" s="73"/>
      <c r="D103" s="75">
        <v>14130.8</v>
      </c>
      <c r="E103" s="75">
        <f>13637.2+2880.12+0.3+4</f>
        <v>16521.62</v>
      </c>
      <c r="F103" s="75">
        <f t="shared" si="1"/>
        <v>16521.62</v>
      </c>
      <c r="G103" s="80">
        <f>8514.3-369.7+639.65+79.12+658.52-3532.7</f>
        <v>5989.1900000000014</v>
      </c>
    </row>
    <row r="104" spans="2:8" ht="18.75" customHeight="1" x14ac:dyDescent="0.25">
      <c r="B104" s="202" t="s">
        <v>90</v>
      </c>
      <c r="C104" s="203"/>
      <c r="D104" s="74">
        <f>SUM(D95:D103)</f>
        <v>169109.91999999998</v>
      </c>
      <c r="E104" s="74">
        <f>SUM(E95:E103)</f>
        <v>157108.78</v>
      </c>
      <c r="F104" s="75">
        <f>E104</f>
        <v>157108.78</v>
      </c>
      <c r="G104" s="74">
        <f>SUM(G95:G103)</f>
        <v>48643.330000000009</v>
      </c>
    </row>
    <row r="105" spans="2:8" x14ac:dyDescent="0.25">
      <c r="B105" s="202" t="s">
        <v>91</v>
      </c>
      <c r="C105" s="203"/>
      <c r="D105" s="82">
        <f>D104+F116+E38+C139</f>
        <v>1325927.57</v>
      </c>
      <c r="E105" s="82">
        <f>E104+G116+F38+D139</f>
        <v>1177344.05</v>
      </c>
      <c r="F105" s="82">
        <f>E105</f>
        <v>1177344.05</v>
      </c>
      <c r="G105" s="82">
        <f>G38+G104+H116+F139</f>
        <v>364390.38999999996</v>
      </c>
    </row>
    <row r="106" spans="2:8" x14ac:dyDescent="0.25">
      <c r="B106" s="16"/>
      <c r="C106" s="16"/>
      <c r="D106" s="16"/>
      <c r="E106" s="17"/>
      <c r="F106" s="17"/>
      <c r="G106" s="17"/>
      <c r="H106" s="17"/>
    </row>
    <row r="107" spans="2:8" x14ac:dyDescent="0.25">
      <c r="B107" s="204" t="s">
        <v>92</v>
      </c>
      <c r="C107" s="201"/>
      <c r="D107" s="201"/>
      <c r="E107" s="201"/>
      <c r="F107" s="201"/>
    </row>
    <row r="108" spans="2:8" ht="38.25" customHeight="1" x14ac:dyDescent="0.25">
      <c r="B108" s="194" t="s">
        <v>29</v>
      </c>
      <c r="C108" s="194" t="s">
        <v>93</v>
      </c>
      <c r="D108" s="194"/>
      <c r="E108" s="205" t="s">
        <v>94</v>
      </c>
      <c r="F108" s="194" t="s">
        <v>30</v>
      </c>
      <c r="G108" s="194" t="s">
        <v>31</v>
      </c>
      <c r="H108" s="195" t="s">
        <v>95</v>
      </c>
    </row>
    <row r="109" spans="2:8" ht="35.25" customHeight="1" x14ac:dyDescent="0.25">
      <c r="B109" s="194"/>
      <c r="C109" s="79" t="s">
        <v>96</v>
      </c>
      <c r="D109" s="19" t="s">
        <v>97</v>
      </c>
      <c r="E109" s="205"/>
      <c r="F109" s="194"/>
      <c r="G109" s="194"/>
      <c r="H109" s="195"/>
    </row>
    <row r="110" spans="2:8" x14ac:dyDescent="0.25">
      <c r="B110" s="10" t="s">
        <v>98</v>
      </c>
      <c r="C110" s="75">
        <v>1400.08</v>
      </c>
      <c r="D110" s="42">
        <v>1439.26</v>
      </c>
      <c r="E110" s="110">
        <v>166.53</v>
      </c>
      <c r="F110" s="75">
        <f>-559.25+239646.97-2087.31</f>
        <v>237000.41</v>
      </c>
      <c r="G110" s="75">
        <f>3194.85+127584.99</f>
        <v>130779.84000000001</v>
      </c>
      <c r="H110" s="75">
        <f>2287.63+147520.74-97729.25</f>
        <v>52079.119999999995</v>
      </c>
    </row>
    <row r="111" spans="2:8" x14ac:dyDescent="0.25">
      <c r="B111" s="10" t="s">
        <v>147</v>
      </c>
      <c r="C111" s="75">
        <v>22.15</v>
      </c>
      <c r="D111" s="42">
        <v>26.44</v>
      </c>
      <c r="E111" s="110">
        <v>1111.48</v>
      </c>
      <c r="F111" s="75">
        <f>125019.48+3321.3+13421.73-1520.5+2848.93-294.08+26538.66+635.38</f>
        <v>169970.90000000002</v>
      </c>
      <c r="G111" s="75">
        <f>117190.05+11407.77+2413.97+22987.42</f>
        <v>153999.21000000002</v>
      </c>
      <c r="H111" s="75">
        <f>94400.95+13457.61+1783.11+15808.62+3-32851.77-1361.8-2768.35+1363.29-654.97+294.78-7772.02-294.82</f>
        <v>81407.629999999961</v>
      </c>
    </row>
    <row r="112" spans="2:8" x14ac:dyDescent="0.25">
      <c r="B112" s="10" t="s">
        <v>99</v>
      </c>
      <c r="C112" s="75">
        <v>18.43</v>
      </c>
      <c r="D112" s="42">
        <v>19.22</v>
      </c>
      <c r="E112" s="110">
        <v>2119</v>
      </c>
      <c r="F112" s="75">
        <f>6232.96-398.86+34494.34+1454.6+185.9</f>
        <v>41968.939999999995</v>
      </c>
      <c r="G112" s="75">
        <f>7009.45+677.02+36533.65+0.05</f>
        <v>44220.170000000006</v>
      </c>
      <c r="H112" s="75">
        <f>9082.4+29863.96+3162.42-1295.86+20.75-7679.98-20.72-185.9</f>
        <v>32947.07</v>
      </c>
    </row>
    <row r="113" spans="2:8" x14ac:dyDescent="0.25">
      <c r="B113" s="10" t="s">
        <v>100</v>
      </c>
      <c r="C113" s="75">
        <v>12.31</v>
      </c>
      <c r="D113" s="42">
        <v>12.84</v>
      </c>
      <c r="E113" s="110">
        <v>3162.48</v>
      </c>
      <c r="F113" s="75">
        <f>35932.02+1431.03-138.85</f>
        <v>37224.199999999997</v>
      </c>
      <c r="G113" s="75">
        <f>35773.45+5.51</f>
        <v>35778.959999999999</v>
      </c>
      <c r="H113" s="75">
        <f>31145.14+819.26-8904.96-157.01</f>
        <v>22902.43</v>
      </c>
    </row>
    <row r="114" spans="2:8" x14ac:dyDescent="0.25">
      <c r="B114" s="10" t="s">
        <v>101</v>
      </c>
      <c r="C114" s="75" t="s">
        <v>145</v>
      </c>
      <c r="D114" s="42" t="s">
        <v>146</v>
      </c>
      <c r="E114" s="110">
        <v>40554.839999999997</v>
      </c>
      <c r="F114" s="75">
        <f>21008.6+2741.47+91576.37-7751.44</f>
        <v>107575</v>
      </c>
      <c r="G114" s="75">
        <f>18671.95+85810.47</f>
        <v>104482.42</v>
      </c>
      <c r="H114" s="75">
        <f>18960.97+52904.84-255.39-4504.3-2600.23-22901.13+5800.15</f>
        <v>47404.909999999996</v>
      </c>
    </row>
    <row r="115" spans="2:8" x14ac:dyDescent="0.25">
      <c r="B115" s="10" t="s">
        <v>102</v>
      </c>
      <c r="C115" s="75">
        <v>2.2999999999999998</v>
      </c>
      <c r="D115" s="42">
        <v>2.39</v>
      </c>
      <c r="E115" s="110">
        <f t="shared" ref="E115" si="2">F115/D115</f>
        <v>4530.5523012552303</v>
      </c>
      <c r="F115" s="75">
        <f>11569.29-741.27</f>
        <v>10828.02</v>
      </c>
      <c r="G115" s="75">
        <v>11384.68</v>
      </c>
      <c r="H115" s="75">
        <f>4763.03-2948.22+1087.7</f>
        <v>2902.51</v>
      </c>
    </row>
    <row r="116" spans="2:8" x14ac:dyDescent="0.25">
      <c r="B116" s="11" t="s">
        <v>103</v>
      </c>
      <c r="C116" s="74"/>
      <c r="D116" s="42"/>
      <c r="E116" s="4"/>
      <c r="F116" s="74">
        <f>SUM(F110:F115)</f>
        <v>604567.47000000009</v>
      </c>
      <c r="G116" s="74">
        <f>SUM(G110:G115)</f>
        <v>480645.28</v>
      </c>
      <c r="H116" s="74">
        <f>SUM(H110:H115)</f>
        <v>239643.66999999995</v>
      </c>
    </row>
    <row r="117" spans="2:8" x14ac:dyDescent="0.25">
      <c r="B117" s="16"/>
      <c r="C117" s="16"/>
      <c r="D117" s="16"/>
      <c r="E117" s="17"/>
      <c r="F117" s="17"/>
      <c r="G117" s="17"/>
      <c r="H117" s="17"/>
    </row>
    <row r="118" spans="2:8" x14ac:dyDescent="0.25">
      <c r="B118" s="16"/>
      <c r="C118" s="16" t="s">
        <v>244</v>
      </c>
      <c r="D118" s="16"/>
      <c r="E118" s="17"/>
      <c r="F118" s="17"/>
      <c r="G118" s="17"/>
      <c r="H118" s="17"/>
    </row>
    <row r="119" spans="2:8" x14ac:dyDescent="0.25">
      <c r="B119" s="137" t="s">
        <v>228</v>
      </c>
      <c r="C119" s="137" t="s">
        <v>229</v>
      </c>
      <c r="D119" s="137"/>
      <c r="E119" s="131" t="s">
        <v>230</v>
      </c>
      <c r="F119" s="17"/>
      <c r="G119" s="17"/>
      <c r="H119" s="17"/>
    </row>
    <row r="120" spans="2:8" x14ac:dyDescent="0.25">
      <c r="B120" s="133" t="s">
        <v>231</v>
      </c>
      <c r="C120" s="199">
        <v>13</v>
      </c>
      <c r="D120" s="200"/>
      <c r="E120" s="105">
        <v>100</v>
      </c>
      <c r="F120" s="17"/>
      <c r="G120" s="17"/>
      <c r="H120" s="17"/>
    </row>
    <row r="121" spans="2:8" x14ac:dyDescent="0.25">
      <c r="B121" s="133" t="s">
        <v>232</v>
      </c>
      <c r="C121" s="199">
        <v>10</v>
      </c>
      <c r="D121" s="200"/>
      <c r="E121" s="105">
        <v>100</v>
      </c>
      <c r="F121" s="17"/>
      <c r="G121" s="17"/>
      <c r="H121" s="17"/>
    </row>
    <row r="122" spans="2:8" x14ac:dyDescent="0.25">
      <c r="B122" s="133" t="s">
        <v>233</v>
      </c>
      <c r="C122" s="199"/>
      <c r="D122" s="200"/>
      <c r="E122" s="105"/>
      <c r="F122" s="17"/>
      <c r="G122" s="17"/>
      <c r="H122" s="17"/>
    </row>
    <row r="123" spans="2:8" x14ac:dyDescent="0.25">
      <c r="B123" s="133" t="s">
        <v>234</v>
      </c>
      <c r="C123" s="199"/>
      <c r="D123" s="200"/>
      <c r="E123" s="105"/>
      <c r="F123" s="17"/>
      <c r="G123" s="17"/>
      <c r="H123" s="17"/>
    </row>
    <row r="124" spans="2:8" x14ac:dyDescent="0.25">
      <c r="B124" s="133" t="s">
        <v>235</v>
      </c>
      <c r="C124" s="199"/>
      <c r="D124" s="200"/>
      <c r="E124" s="105"/>
      <c r="F124" s="17"/>
      <c r="G124" s="17"/>
      <c r="H124" s="17"/>
    </row>
    <row r="125" spans="2:8" x14ac:dyDescent="0.25">
      <c r="B125" s="133" t="s">
        <v>236</v>
      </c>
      <c r="C125" s="199"/>
      <c r="D125" s="200"/>
      <c r="E125" s="105"/>
      <c r="F125" s="17"/>
      <c r="G125" s="17"/>
      <c r="H125" s="17"/>
    </row>
    <row r="126" spans="2:8" x14ac:dyDescent="0.25">
      <c r="B126" s="133" t="s">
        <v>70</v>
      </c>
      <c r="C126" s="199">
        <v>5</v>
      </c>
      <c r="D126" s="200"/>
      <c r="E126" s="105">
        <v>100</v>
      </c>
      <c r="F126" s="17"/>
      <c r="G126" s="17"/>
      <c r="H126" s="17"/>
    </row>
    <row r="127" spans="2:8" x14ac:dyDescent="0.25">
      <c r="B127" s="133" t="s">
        <v>237</v>
      </c>
      <c r="C127" s="199"/>
      <c r="D127" s="200"/>
      <c r="E127" s="105"/>
      <c r="F127" s="17"/>
      <c r="G127" s="17"/>
      <c r="H127" s="17"/>
    </row>
    <row r="128" spans="2:8" x14ac:dyDescent="0.25">
      <c r="B128" s="133" t="s">
        <v>238</v>
      </c>
      <c r="C128" s="199">
        <v>1</v>
      </c>
      <c r="D128" s="200"/>
      <c r="E128" s="105">
        <v>100</v>
      </c>
      <c r="F128" s="17"/>
      <c r="G128" s="17"/>
      <c r="H128" s="17"/>
    </row>
    <row r="129" spans="2:8" x14ac:dyDescent="0.25">
      <c r="B129" s="133" t="s">
        <v>239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240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241</v>
      </c>
      <c r="C131" s="199"/>
      <c r="D131" s="200"/>
      <c r="E131" s="129"/>
      <c r="F131" s="17"/>
      <c r="G131" s="17"/>
      <c r="H131" s="17"/>
    </row>
    <row r="132" spans="2:8" x14ac:dyDescent="0.25">
      <c r="B132" s="133" t="s">
        <v>242</v>
      </c>
      <c r="C132" s="199"/>
      <c r="D132" s="200"/>
      <c r="E132" s="129"/>
      <c r="F132" s="17"/>
      <c r="G132" s="17"/>
      <c r="H132" s="17"/>
    </row>
    <row r="133" spans="2:8" x14ac:dyDescent="0.25">
      <c r="B133" s="133" t="s">
        <v>243</v>
      </c>
      <c r="C133" s="199"/>
      <c r="D133" s="200"/>
      <c r="E133" s="129"/>
      <c r="F133" s="17"/>
      <c r="G133" s="17"/>
      <c r="H133" s="17"/>
    </row>
    <row r="134" spans="2:8" x14ac:dyDescent="0.25">
      <c r="B134" s="139" t="s">
        <v>103</v>
      </c>
      <c r="C134" s="245">
        <f>SUM(C120:C133)</f>
        <v>29</v>
      </c>
      <c r="D134" s="246"/>
      <c r="E134" s="145">
        <v>100</v>
      </c>
      <c r="F134" s="9"/>
      <c r="G134" s="9"/>
    </row>
    <row r="135" spans="2:8" x14ac:dyDescent="0.25">
      <c r="B135" s="12"/>
      <c r="C135" s="12"/>
      <c r="D135" s="9"/>
      <c r="E135" s="9"/>
      <c r="F135" s="9"/>
      <c r="G135" s="9"/>
    </row>
    <row r="136" spans="2:8" ht="44.25" customHeight="1" x14ac:dyDescent="0.25">
      <c r="B136" s="33"/>
      <c r="C136" s="74" t="s">
        <v>30</v>
      </c>
      <c r="D136" s="74" t="s">
        <v>31</v>
      </c>
      <c r="E136" s="77" t="s">
        <v>104</v>
      </c>
      <c r="F136" s="77" t="s">
        <v>32</v>
      </c>
    </row>
    <row r="137" spans="2:8" x14ac:dyDescent="0.25">
      <c r="B137" s="32" t="s">
        <v>105</v>
      </c>
      <c r="C137" s="75">
        <v>67730</v>
      </c>
      <c r="D137" s="75">
        <f>0.04+0.01+65318.05</f>
        <v>65318.100000000006</v>
      </c>
      <c r="E137" s="75"/>
      <c r="F137" s="80">
        <f>1832.92+205.97+37396.58-16932.5</f>
        <v>22502.97</v>
      </c>
    </row>
    <row r="138" spans="2:8" x14ac:dyDescent="0.25">
      <c r="B138" s="32" t="s">
        <v>106</v>
      </c>
      <c r="C138" s="75">
        <v>2532.1999999999998</v>
      </c>
      <c r="D138" s="75">
        <v>2468.8200000000002</v>
      </c>
      <c r="E138" s="75"/>
      <c r="F138" s="80">
        <f>675.24-633.05</f>
        <v>42.190000000000055</v>
      </c>
    </row>
    <row r="139" spans="2:8" x14ac:dyDescent="0.25">
      <c r="B139" s="33" t="s">
        <v>107</v>
      </c>
      <c r="C139" s="74">
        <f>SUM(C137:C138)</f>
        <v>70262.2</v>
      </c>
      <c r="D139" s="74">
        <f>SUM(D137:D138)</f>
        <v>67786.920000000013</v>
      </c>
      <c r="E139" s="75"/>
      <c r="F139" s="74">
        <f>SUM(F137:F138)</f>
        <v>22545.16</v>
      </c>
    </row>
    <row r="141" spans="2:8" x14ac:dyDescent="0.25">
      <c r="B141" s="177" t="s">
        <v>108</v>
      </c>
      <c r="C141" s="178"/>
      <c r="D141" s="179"/>
      <c r="E141" s="196">
        <f>G105</f>
        <v>364390.38999999996</v>
      </c>
      <c r="F141" s="197"/>
    </row>
    <row r="143" spans="2:8" x14ac:dyDescent="0.25">
      <c r="B143" s="198" t="s">
        <v>109</v>
      </c>
      <c r="C143" s="198"/>
      <c r="D143" s="198"/>
      <c r="E143" s="193"/>
      <c r="F143" s="193"/>
    </row>
    <row r="144" spans="2:8" x14ac:dyDescent="0.25">
      <c r="B144" s="192" t="s">
        <v>110</v>
      </c>
      <c r="C144" s="192"/>
      <c r="D144" s="192"/>
      <c r="E144" s="193"/>
      <c r="F144" s="193"/>
    </row>
    <row r="145" spans="2:8" x14ac:dyDescent="0.25">
      <c r="B145" s="192" t="s">
        <v>111</v>
      </c>
      <c r="C145" s="192"/>
      <c r="D145" s="192"/>
      <c r="E145" s="193"/>
      <c r="F145" s="193"/>
    </row>
    <row r="146" spans="2:8" x14ac:dyDescent="0.25">
      <c r="B146" s="192" t="s">
        <v>112</v>
      </c>
      <c r="C146" s="192"/>
      <c r="D146" s="192"/>
      <c r="E146" s="193"/>
      <c r="F146" s="193"/>
    </row>
    <row r="147" spans="2:8" x14ac:dyDescent="0.25">
      <c r="B147" s="192" t="s">
        <v>167</v>
      </c>
      <c r="C147" s="192"/>
      <c r="D147" s="192"/>
      <c r="E147" s="193"/>
      <c r="F147" s="193"/>
    </row>
    <row r="149" spans="2:8" x14ac:dyDescent="0.25">
      <c r="B149" s="177" t="s">
        <v>114</v>
      </c>
      <c r="C149" s="178"/>
      <c r="D149" s="179"/>
      <c r="E149" s="193"/>
      <c r="F149" s="193"/>
    </row>
    <row r="151" spans="2:8" hidden="1" x14ac:dyDescent="0.25">
      <c r="B151" s="181" t="s">
        <v>123</v>
      </c>
      <c r="C151" s="183"/>
      <c r="D151" s="75" t="s">
        <v>124</v>
      </c>
      <c r="E151" s="176" t="s">
        <v>122</v>
      </c>
      <c r="F151" s="176"/>
    </row>
    <row r="152" spans="2:8" hidden="1" x14ac:dyDescent="0.25">
      <c r="B152" s="181" t="s">
        <v>125</v>
      </c>
      <c r="C152" s="183"/>
      <c r="D152" s="75" t="s">
        <v>126</v>
      </c>
      <c r="E152" s="176" t="s">
        <v>122</v>
      </c>
      <c r="F152" s="176"/>
    </row>
    <row r="153" spans="2:8" ht="30" hidden="1" customHeight="1" x14ac:dyDescent="0.25">
      <c r="B153" s="174" t="s">
        <v>127</v>
      </c>
      <c r="C153" s="175"/>
      <c r="D153" s="75" t="s">
        <v>128</v>
      </c>
      <c r="E153" s="176" t="s">
        <v>122</v>
      </c>
      <c r="F153" s="176"/>
    </row>
    <row r="154" spans="2:8" ht="30" hidden="1" customHeight="1" x14ac:dyDescent="0.25">
      <c r="B154" s="174" t="s">
        <v>129</v>
      </c>
      <c r="C154" s="175"/>
      <c r="D154" s="75" t="s">
        <v>130</v>
      </c>
      <c r="E154" s="176"/>
      <c r="F154" s="176"/>
    </row>
    <row r="155" spans="2:8" ht="30" hidden="1" x14ac:dyDescent="0.25">
      <c r="B155" s="174" t="s">
        <v>131</v>
      </c>
      <c r="C155" s="175"/>
      <c r="D155" s="24" t="s">
        <v>132</v>
      </c>
      <c r="E155" s="176" t="s">
        <v>133</v>
      </c>
      <c r="F155" s="176"/>
    </row>
    <row r="156" spans="2:8" hidden="1" x14ac:dyDescent="0.25">
      <c r="B156" s="181" t="s">
        <v>134</v>
      </c>
      <c r="C156" s="183"/>
      <c r="D156" s="10" t="s">
        <v>135</v>
      </c>
      <c r="E156" s="176"/>
      <c r="F156" s="176"/>
    </row>
    <row r="157" spans="2:8" ht="30" hidden="1" customHeight="1" x14ac:dyDescent="0.25">
      <c r="B157" s="174" t="s">
        <v>136</v>
      </c>
      <c r="C157" s="175"/>
      <c r="D157" s="10" t="s">
        <v>137</v>
      </c>
      <c r="E157" s="176"/>
      <c r="F157" s="176"/>
    </row>
    <row r="158" spans="2:8" ht="30" hidden="1" customHeight="1" x14ac:dyDescent="0.25">
      <c r="B158" s="174" t="s">
        <v>138</v>
      </c>
      <c r="C158" s="175"/>
      <c r="D158" s="75" t="s">
        <v>139</v>
      </c>
      <c r="E158" s="176"/>
      <c r="F158" s="176"/>
    </row>
    <row r="159" spans="2:8" x14ac:dyDescent="0.25">
      <c r="B159" s="177" t="s">
        <v>74</v>
      </c>
      <c r="C159" s="178"/>
      <c r="D159" s="179"/>
      <c r="E159" s="180">
        <v>1520</v>
      </c>
      <c r="F159" s="180"/>
      <c r="G159" s="25"/>
      <c r="H159" s="25"/>
    </row>
    <row r="160" spans="2:8" x14ac:dyDescent="0.25">
      <c r="B160" s="181" t="s">
        <v>75</v>
      </c>
      <c r="C160" s="182"/>
      <c r="D160" s="183"/>
      <c r="E160" s="176"/>
      <c r="F160" s="176"/>
      <c r="G160" s="26"/>
      <c r="H160" s="26"/>
    </row>
    <row r="161" spans="2:8" x14ac:dyDescent="0.25">
      <c r="B161" s="181" t="s">
        <v>76</v>
      </c>
      <c r="C161" s="182"/>
      <c r="D161" s="183"/>
      <c r="E161" s="184">
        <v>320</v>
      </c>
      <c r="F161" s="184"/>
      <c r="G161" s="27"/>
      <c r="H161" s="27"/>
    </row>
    <row r="162" spans="2:8" x14ac:dyDescent="0.25">
      <c r="B162" s="181" t="s">
        <v>77</v>
      </c>
      <c r="C162" s="182"/>
      <c r="D162" s="183"/>
      <c r="E162" s="184"/>
      <c r="F162" s="184"/>
      <c r="G162" s="27"/>
      <c r="H162" s="27"/>
    </row>
    <row r="163" spans="2:8" x14ac:dyDescent="0.25">
      <c r="B163" s="177" t="s">
        <v>78</v>
      </c>
      <c r="C163" s="178"/>
      <c r="D163" s="179"/>
      <c r="E163" s="180"/>
      <c r="F163" s="180"/>
      <c r="G163" s="25"/>
      <c r="H163" s="25"/>
    </row>
    <row r="164" spans="2:8" x14ac:dyDescent="0.25">
      <c r="B164" s="181" t="s">
        <v>79</v>
      </c>
      <c r="C164" s="182"/>
      <c r="D164" s="183"/>
      <c r="E164" s="184"/>
      <c r="F164" s="184"/>
      <c r="G164" s="27"/>
      <c r="H164" s="27"/>
    </row>
    <row r="165" spans="2:8" x14ac:dyDescent="0.25">
      <c r="B165" s="177" t="s">
        <v>80</v>
      </c>
      <c r="C165" s="178"/>
      <c r="D165" s="179"/>
      <c r="E165" s="184"/>
      <c r="F165" s="184"/>
      <c r="G165" s="27"/>
      <c r="H165" s="27"/>
    </row>
    <row r="166" spans="2:8" x14ac:dyDescent="0.25">
      <c r="B166" s="16"/>
      <c r="C166" s="16"/>
      <c r="D166" s="16"/>
      <c r="E166" s="17"/>
      <c r="F166" s="17"/>
      <c r="G166" s="17"/>
      <c r="H166" s="17"/>
    </row>
    <row r="167" spans="2:8" ht="36" customHeight="1" x14ac:dyDescent="0.25">
      <c r="B167" s="185" t="s">
        <v>115</v>
      </c>
      <c r="C167" s="186"/>
      <c r="D167" s="186"/>
      <c r="E167" s="186"/>
      <c r="F167" s="21" t="s">
        <v>116</v>
      </c>
    </row>
    <row r="168" spans="2:8" ht="14.45" customHeight="1" x14ac:dyDescent="0.25">
      <c r="B168" s="187" t="s">
        <v>117</v>
      </c>
      <c r="C168" s="188" t="s">
        <v>118</v>
      </c>
      <c r="D168" s="190" t="s">
        <v>119</v>
      </c>
      <c r="E168" s="191"/>
      <c r="F168" s="4"/>
    </row>
    <row r="169" spans="2:8" x14ac:dyDescent="0.25">
      <c r="B169" s="187"/>
      <c r="C169" s="189"/>
      <c r="D169" s="81" t="s">
        <v>120</v>
      </c>
      <c r="E169" s="81" t="s">
        <v>121</v>
      </c>
      <c r="F169" s="4"/>
    </row>
    <row r="170" spans="2:8" x14ac:dyDescent="0.25">
      <c r="B170" s="35"/>
      <c r="C170" s="34"/>
      <c r="D170" s="4"/>
      <c r="E170" s="4"/>
      <c r="F170" s="4"/>
    </row>
    <row r="171" spans="2:8" x14ac:dyDescent="0.25">
      <c r="B171" s="35"/>
      <c r="C171" s="35"/>
      <c r="D171" s="4"/>
      <c r="E171" s="4"/>
      <c r="F171" s="4"/>
    </row>
    <row r="172" spans="2:8" x14ac:dyDescent="0.25">
      <c r="B172" s="120"/>
      <c r="C172" s="120"/>
      <c r="D172" s="121"/>
      <c r="E172" s="121"/>
      <c r="F172" s="121"/>
    </row>
    <row r="173" spans="2:8" x14ac:dyDescent="0.25">
      <c r="B173" s="120" t="s">
        <v>247</v>
      </c>
      <c r="C173" s="120"/>
      <c r="D173" s="121" t="s">
        <v>248</v>
      </c>
      <c r="E173" s="121"/>
      <c r="F173" s="121"/>
    </row>
    <row r="174" spans="2:8" x14ac:dyDescent="0.25">
      <c r="B174" s="120"/>
      <c r="C174" s="120"/>
      <c r="D174" s="121"/>
      <c r="E174" s="121"/>
      <c r="F174" s="121"/>
    </row>
  </sheetData>
  <mergeCells count="181">
    <mergeCell ref="B70:C70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63:C63"/>
    <mergeCell ref="B64:C64"/>
    <mergeCell ref="B71:C71"/>
    <mergeCell ref="B72:C72"/>
    <mergeCell ref="B73:C73"/>
    <mergeCell ref="B74:C74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5:C65"/>
    <mergeCell ref="B66:C66"/>
    <mergeCell ref="B67:C67"/>
    <mergeCell ref="B68:C68"/>
    <mergeCell ref="B69:C69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87:C87"/>
    <mergeCell ref="B88:C88"/>
    <mergeCell ref="B89:C89"/>
    <mergeCell ref="B90:C90"/>
    <mergeCell ref="B91:C91"/>
    <mergeCell ref="B95:C95"/>
    <mergeCell ref="B96:C96"/>
    <mergeCell ref="B97:C97"/>
    <mergeCell ref="B98:C98"/>
    <mergeCell ref="B99:C99"/>
    <mergeCell ref="B100:C100"/>
    <mergeCell ref="B93:G93"/>
    <mergeCell ref="B94:C94"/>
    <mergeCell ref="C132:D132"/>
    <mergeCell ref="C133:D133"/>
    <mergeCell ref="C134:D134"/>
    <mergeCell ref="B101:C101"/>
    <mergeCell ref="B102:C102"/>
    <mergeCell ref="B104:C104"/>
    <mergeCell ref="B105:C105"/>
    <mergeCell ref="B107:F107"/>
    <mergeCell ref="B108:B109"/>
    <mergeCell ref="C108:D108"/>
    <mergeCell ref="E108:E109"/>
    <mergeCell ref="F108:F109"/>
    <mergeCell ref="B144:D144"/>
    <mergeCell ref="E144:F144"/>
    <mergeCell ref="B145:D145"/>
    <mergeCell ref="E145:F145"/>
    <mergeCell ref="B146:D146"/>
    <mergeCell ref="E146:F146"/>
    <mergeCell ref="G108:G109"/>
    <mergeCell ref="H108:H109"/>
    <mergeCell ref="B141:D141"/>
    <mergeCell ref="E141:F141"/>
    <mergeCell ref="B143:D143"/>
    <mergeCell ref="E143:F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B152:C152"/>
    <mergeCell ref="E152:F152"/>
    <mergeCell ref="B153:C153"/>
    <mergeCell ref="E153:F153"/>
    <mergeCell ref="B154:C154"/>
    <mergeCell ref="E154:F154"/>
    <mergeCell ref="B147:D147"/>
    <mergeCell ref="E147:F147"/>
    <mergeCell ref="B149:D149"/>
    <mergeCell ref="E149:F149"/>
    <mergeCell ref="B151:C151"/>
    <mergeCell ref="E151:F151"/>
    <mergeCell ref="B165:D165"/>
    <mergeCell ref="E165:F165"/>
    <mergeCell ref="B167:E167"/>
    <mergeCell ref="B168:B169"/>
    <mergeCell ref="C168:C169"/>
    <mergeCell ref="D168:E168"/>
    <mergeCell ref="B161:D161"/>
    <mergeCell ref="E161:F161"/>
    <mergeCell ref="B162:D162"/>
    <mergeCell ref="E162:F162"/>
    <mergeCell ref="B163:D163"/>
    <mergeCell ref="E163:F163"/>
    <mergeCell ref="B158:C158"/>
    <mergeCell ref="E158:F158"/>
    <mergeCell ref="B159:D159"/>
    <mergeCell ref="E159:F159"/>
    <mergeCell ref="B160:D160"/>
    <mergeCell ref="E160:F160"/>
    <mergeCell ref="B155:C155"/>
    <mergeCell ref="B164:D164"/>
    <mergeCell ref="E164:F164"/>
    <mergeCell ref="E155:F155"/>
    <mergeCell ref="B156:C156"/>
    <mergeCell ref="E156:F156"/>
    <mergeCell ref="B157:C157"/>
    <mergeCell ref="E157:F157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1" max="7" man="1"/>
    <brk id="1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3"/>
  <sheetViews>
    <sheetView view="pageBreakPreview" topLeftCell="A8" zoomScale="70" zoomScaleSheetLayoutView="70" workbookViewId="0">
      <selection activeCell="B28" sqref="B28:G28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141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142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3563.7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3458.2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105.5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3563.7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174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162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81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186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76" t="s">
        <v>20</v>
      </c>
      <c r="F21" s="76" t="s">
        <v>21</v>
      </c>
      <c r="G21" s="76" t="s">
        <v>19</v>
      </c>
      <c r="H21" s="31"/>
    </row>
    <row r="22" spans="1:8" x14ac:dyDescent="0.25">
      <c r="B22" s="223" t="s">
        <v>22</v>
      </c>
      <c r="C22" s="224"/>
      <c r="D22" s="7">
        <f>E22</f>
        <v>29203.17</v>
      </c>
      <c r="E22" s="7">
        <v>29203.17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1302114.1400000001</v>
      </c>
      <c r="E23" s="45">
        <f>E38+D94+C138</f>
        <v>600217.31999999995</v>
      </c>
      <c r="F23" s="7">
        <f>D95+D96+D97+D98+D99+D100+D101+D102</f>
        <v>139248.78</v>
      </c>
      <c r="G23" s="7">
        <f>F109+F110+F111+F112+F113+F114</f>
        <v>562648.04</v>
      </c>
      <c r="H23" s="2"/>
    </row>
    <row r="24" spans="1:8" x14ac:dyDescent="0.25">
      <c r="B24" s="223" t="s">
        <v>24</v>
      </c>
      <c r="C24" s="224"/>
      <c r="D24" s="43">
        <f>E24+F24+G24</f>
        <v>1171527.07</v>
      </c>
      <c r="E24" s="45">
        <f>F38+E94+D136+D137</f>
        <v>580032.9</v>
      </c>
      <c r="F24" s="7">
        <f>E95+E96+E98+E99+E102+E97+E100+E101</f>
        <v>142737.30000000002</v>
      </c>
      <c r="G24" s="7">
        <f>G115</f>
        <v>448756.87</v>
      </c>
      <c r="H24" s="2"/>
    </row>
    <row r="25" spans="1:8" x14ac:dyDescent="0.25">
      <c r="B25" s="223" t="s">
        <v>25</v>
      </c>
      <c r="C25" s="224"/>
      <c r="D25" s="7">
        <f>E25+F25+G25</f>
        <v>1126406.8400000001</v>
      </c>
      <c r="E25" s="7">
        <f>D138+465603.5</f>
        <v>534912.67000000004</v>
      </c>
      <c r="F25" s="7">
        <f>F24</f>
        <v>142737.30000000002</v>
      </c>
      <c r="G25" s="7">
        <f>G24</f>
        <v>448756.87</v>
      </c>
      <c r="H25" s="2"/>
    </row>
    <row r="26" spans="1:8" x14ac:dyDescent="0.25">
      <c r="B26" s="223" t="s">
        <v>250</v>
      </c>
      <c r="C26" s="224"/>
      <c r="D26" s="7">
        <f>E26+F26+G26</f>
        <v>183147.12</v>
      </c>
      <c r="E26" s="45">
        <f>G38+G94+F138</f>
        <v>51856.98000000001</v>
      </c>
      <c r="F26" s="45">
        <f>G103-G94</f>
        <v>18339.95</v>
      </c>
      <c r="G26" s="45">
        <f>H115</f>
        <v>112950.18999999997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28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79" t="s">
        <v>30</v>
      </c>
      <c r="F30" s="78" t="s">
        <v>31</v>
      </c>
      <c r="G30" s="77" t="s">
        <v>32</v>
      </c>
      <c r="H30" s="9"/>
    </row>
    <row r="31" spans="1:8" x14ac:dyDescent="0.25">
      <c r="B31" s="174" t="s">
        <v>33</v>
      </c>
      <c r="C31" s="212"/>
      <c r="D31" s="175"/>
      <c r="E31" s="75">
        <v>63910.2</v>
      </c>
      <c r="F31" s="40">
        <v>63050.84</v>
      </c>
      <c r="G31" s="75">
        <f>9459.1-5636.99</f>
        <v>3822.1100000000006</v>
      </c>
      <c r="H31" s="5"/>
    </row>
    <row r="32" spans="1:8" x14ac:dyDescent="0.25">
      <c r="B32" s="174" t="s">
        <v>34</v>
      </c>
      <c r="C32" s="212"/>
      <c r="D32" s="175"/>
      <c r="E32" s="75">
        <v>84656.58</v>
      </c>
      <c r="F32" s="40">
        <v>83846.47</v>
      </c>
      <c r="G32" s="75">
        <f>12487.61-7331.47</f>
        <v>5156.1400000000003</v>
      </c>
      <c r="H32" s="5"/>
    </row>
    <row r="33" spans="2:8" x14ac:dyDescent="0.25">
      <c r="B33" s="174" t="s">
        <v>35</v>
      </c>
      <c r="C33" s="212"/>
      <c r="D33" s="175"/>
      <c r="E33" s="75">
        <v>51458.22</v>
      </c>
      <c r="F33" s="40">
        <v>50823.85</v>
      </c>
      <c r="G33" s="75">
        <f>7776.81-4530.28</f>
        <v>3246.5300000000007</v>
      </c>
      <c r="H33" s="5"/>
    </row>
    <row r="34" spans="2:8" hidden="1" x14ac:dyDescent="0.25">
      <c r="B34" s="174" t="s">
        <v>36</v>
      </c>
      <c r="C34" s="175"/>
      <c r="D34" s="71"/>
      <c r="E34" s="75"/>
      <c r="F34" s="40"/>
      <c r="G34" s="75"/>
      <c r="H34" s="5"/>
    </row>
    <row r="35" spans="2:8" x14ac:dyDescent="0.25">
      <c r="B35" s="174" t="s">
        <v>37</v>
      </c>
      <c r="C35" s="212"/>
      <c r="D35" s="175"/>
      <c r="E35" s="75">
        <v>122671.86</v>
      </c>
      <c r="F35" s="40">
        <v>120196.72</v>
      </c>
      <c r="G35" s="75">
        <f>19329.65-10869.61</f>
        <v>8460.0400000000009</v>
      </c>
      <c r="H35" s="5"/>
    </row>
    <row r="36" spans="2:8" x14ac:dyDescent="0.25">
      <c r="B36" s="174" t="s">
        <v>38</v>
      </c>
      <c r="C36" s="212"/>
      <c r="D36" s="175"/>
      <c r="E36" s="75">
        <v>86428.3</v>
      </c>
      <c r="F36" s="40">
        <f>84599.29+404.16</f>
        <v>85003.45</v>
      </c>
      <c r="G36" s="75">
        <f>12327.18+914.22+1885.08-9122.96</f>
        <v>6003.52</v>
      </c>
      <c r="H36" s="5"/>
    </row>
    <row r="37" spans="2:8" ht="30" customHeight="1" x14ac:dyDescent="0.25">
      <c r="B37" s="174" t="s">
        <v>39</v>
      </c>
      <c r="C37" s="212"/>
      <c r="D37" s="175"/>
      <c r="E37" s="75">
        <v>83866.12</v>
      </c>
      <c r="F37" s="40">
        <f>82076.24+345.83</f>
        <v>82422.070000000007</v>
      </c>
      <c r="G37" s="75">
        <f>11526.85+1758.89-7341.11</f>
        <v>5944.63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492991.27999999997</v>
      </c>
      <c r="F38" s="41">
        <f>SUM(F31:F37)</f>
        <v>485343.4</v>
      </c>
      <c r="G38" s="41">
        <f>SUM(G31:G37)</f>
        <v>32632.97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200020.80000000002</v>
      </c>
      <c r="G44" s="123"/>
      <c r="H44" s="123">
        <f t="shared" ref="H44" si="0">H45+H46+H47</f>
        <v>140112.53999999998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v>63906</v>
      </c>
      <c r="G45" s="112"/>
      <c r="H45" s="105">
        <f>35601.8-8476.47</f>
        <v>27125.33</v>
      </c>
    </row>
    <row r="46" spans="2:8" x14ac:dyDescent="0.25">
      <c r="B46" s="210" t="s">
        <v>49</v>
      </c>
      <c r="C46" s="211"/>
      <c r="D46" s="75">
        <v>2014</v>
      </c>
      <c r="E46" s="10"/>
      <c r="F46" s="105">
        <f>E32</f>
        <v>84656.58</v>
      </c>
      <c r="G46" s="112"/>
      <c r="H46" s="105">
        <f>75568.9-11403.27</f>
        <v>64165.62999999999</v>
      </c>
    </row>
    <row r="47" spans="2:8" x14ac:dyDescent="0.25">
      <c r="B47" s="174" t="s">
        <v>35</v>
      </c>
      <c r="C47" s="175"/>
      <c r="D47" s="75">
        <v>2014</v>
      </c>
      <c r="E47" s="10"/>
      <c r="F47" s="105">
        <f>E33</f>
        <v>51458.22</v>
      </c>
      <c r="G47" s="112"/>
      <c r="H47" s="105">
        <f>55663.3-6841.72</f>
        <v>48821.58</v>
      </c>
    </row>
    <row r="48" spans="2:8" hidden="1" x14ac:dyDescent="0.25">
      <c r="B48" s="174" t="s">
        <v>36</v>
      </c>
      <c r="C48" s="175"/>
      <c r="D48" s="75"/>
      <c r="E48" s="10"/>
      <c r="F48" s="14"/>
      <c r="G48" s="10"/>
      <c r="H48" s="14"/>
    </row>
    <row r="49" spans="2:8" x14ac:dyDescent="0.25">
      <c r="B49" s="202" t="s">
        <v>65</v>
      </c>
      <c r="C49" s="203"/>
      <c r="D49" s="75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268</v>
      </c>
      <c r="F51" s="151">
        <f>8567.95+1300</f>
        <v>9867.9500000000007</v>
      </c>
      <c r="G51" s="150" t="s">
        <v>268</v>
      </c>
      <c r="H51" s="151">
        <f>8567.94+1300</f>
        <v>9867.94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2109</v>
      </c>
      <c r="G52" s="149" t="s">
        <v>267</v>
      </c>
      <c r="H52" s="152">
        <v>2358.7199999999998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1020+3274.29</f>
        <v>4294.29</v>
      </c>
      <c r="G53" s="149" t="s">
        <v>267</v>
      </c>
      <c r="H53" s="152">
        <f>812.75+3148.77</f>
        <v>3961.52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ht="16.5" customHeight="1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ht="16.5" customHeight="1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ht="16.5" customHeight="1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ht="16.5" customHeight="1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ht="16.5" customHeight="1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ht="16.5" customHeight="1" x14ac:dyDescent="0.25">
      <c r="B60" s="208" t="s">
        <v>69</v>
      </c>
      <c r="C60" s="209"/>
      <c r="D60" s="108" t="s">
        <v>272</v>
      </c>
      <c r="E60" s="161" t="s">
        <v>328</v>
      </c>
      <c r="F60" s="152">
        <v>70080</v>
      </c>
      <c r="G60" s="161" t="s">
        <v>328</v>
      </c>
      <c r="H60" s="152">
        <v>70080</v>
      </c>
    </row>
    <row r="61" spans="2:8" ht="16.5" customHeight="1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ht="16.5" customHeight="1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ht="16.5" customHeight="1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ht="16.5" customHeight="1" x14ac:dyDescent="0.25">
      <c r="B64" s="243" t="s">
        <v>50</v>
      </c>
      <c r="C64" s="244"/>
      <c r="D64" s="108"/>
      <c r="E64" s="108"/>
      <c r="F64" s="162"/>
      <c r="G64" s="163"/>
      <c r="H64" s="162"/>
    </row>
    <row r="65" spans="2:8" ht="36.75" customHeight="1" x14ac:dyDescent="0.25">
      <c r="B65" s="208" t="s">
        <v>51</v>
      </c>
      <c r="C65" s="209"/>
      <c r="D65" s="153" t="s">
        <v>284</v>
      </c>
      <c r="E65" s="108"/>
      <c r="F65" s="154"/>
      <c r="G65" s="108" t="s">
        <v>271</v>
      </c>
      <c r="H65" s="154"/>
    </row>
    <row r="66" spans="2:8" ht="42" customHeight="1" x14ac:dyDescent="0.25">
      <c r="B66" s="208" t="s">
        <v>52</v>
      </c>
      <c r="C66" s="209"/>
      <c r="D66" s="108" t="s">
        <v>285</v>
      </c>
      <c r="E66" s="108"/>
      <c r="F66" s="154"/>
      <c r="G66" s="108" t="s">
        <v>271</v>
      </c>
      <c r="H66" s="154"/>
    </row>
    <row r="67" spans="2:8" ht="39" customHeight="1" x14ac:dyDescent="0.25">
      <c r="B67" s="208" t="s">
        <v>53</v>
      </c>
      <c r="C67" s="209"/>
      <c r="D67" s="108" t="s">
        <v>286</v>
      </c>
      <c r="E67" s="108"/>
      <c r="F67" s="154"/>
      <c r="G67" s="108" t="s">
        <v>271</v>
      </c>
      <c r="H67" s="154"/>
    </row>
    <row r="68" spans="2:8" ht="86.25" customHeight="1" x14ac:dyDescent="0.25">
      <c r="B68" s="208" t="s">
        <v>54</v>
      </c>
      <c r="C68" s="209"/>
      <c r="D68" s="150" t="s">
        <v>266</v>
      </c>
      <c r="E68" s="150" t="s">
        <v>271</v>
      </c>
      <c r="F68" s="151">
        <v>6406.22</v>
      </c>
      <c r="G68" s="150" t="s">
        <v>271</v>
      </c>
      <c r="H68" s="151">
        <v>6171.26</v>
      </c>
    </row>
    <row r="69" spans="2:8" x14ac:dyDescent="0.25">
      <c r="B69" s="208" t="s">
        <v>55</v>
      </c>
      <c r="C69" s="209"/>
      <c r="D69" s="108" t="s">
        <v>266</v>
      </c>
      <c r="E69" s="108" t="s">
        <v>329</v>
      </c>
      <c r="F69" s="152">
        <v>15708</v>
      </c>
      <c r="G69" s="108"/>
      <c r="H69" s="152">
        <f>645.41</f>
        <v>645.41</v>
      </c>
    </row>
    <row r="70" spans="2:8" x14ac:dyDescent="0.25">
      <c r="B70" s="208" t="s">
        <v>56</v>
      </c>
      <c r="C70" s="209"/>
      <c r="D70" s="108" t="s">
        <v>266</v>
      </c>
      <c r="E70" s="108" t="s">
        <v>271</v>
      </c>
      <c r="F70" s="152">
        <v>13998.32</v>
      </c>
      <c r="G70" s="108" t="s">
        <v>271</v>
      </c>
      <c r="H70" s="152">
        <v>13998.32</v>
      </c>
    </row>
    <row r="71" spans="2:8" x14ac:dyDescent="0.25">
      <c r="B71" s="208" t="s">
        <v>57</v>
      </c>
      <c r="C71" s="209"/>
      <c r="D71" s="108" t="s">
        <v>266</v>
      </c>
      <c r="E71" s="108"/>
      <c r="F71" s="154"/>
      <c r="G71" s="108" t="s">
        <v>271</v>
      </c>
      <c r="H71" s="154"/>
    </row>
    <row r="72" spans="2:8" x14ac:dyDescent="0.25">
      <c r="B72" s="208" t="s">
        <v>58</v>
      </c>
      <c r="C72" s="209"/>
      <c r="D72" s="108" t="s">
        <v>266</v>
      </c>
      <c r="E72" s="108"/>
      <c r="F72" s="164"/>
      <c r="G72" s="108" t="s">
        <v>271</v>
      </c>
      <c r="H72" s="164"/>
    </row>
    <row r="73" spans="2:8" x14ac:dyDescent="0.25">
      <c r="B73" s="208" t="s">
        <v>282</v>
      </c>
      <c r="C73" s="209"/>
      <c r="D73" s="108"/>
      <c r="E73" s="108"/>
      <c r="F73" s="154"/>
      <c r="G73" s="108"/>
      <c r="H73" s="154"/>
    </row>
    <row r="74" spans="2:8" x14ac:dyDescent="0.25">
      <c r="B74" s="243" t="s">
        <v>59</v>
      </c>
      <c r="C74" s="244"/>
      <c r="D74" s="108"/>
      <c r="E74" s="108"/>
      <c r="F74" s="162"/>
      <c r="G74" s="108"/>
      <c r="H74" s="162"/>
    </row>
    <row r="75" spans="2:8" ht="40.5" customHeight="1" x14ac:dyDescent="0.25">
      <c r="B75" s="208" t="s">
        <v>60</v>
      </c>
      <c r="C75" s="209"/>
      <c r="D75" s="108" t="s">
        <v>272</v>
      </c>
      <c r="E75" s="108"/>
      <c r="F75" s="154"/>
      <c r="G75" s="108" t="s">
        <v>271</v>
      </c>
      <c r="H75" s="154"/>
    </row>
    <row r="76" spans="2:8" ht="36.75" customHeight="1" x14ac:dyDescent="0.25">
      <c r="B76" s="208" t="s">
        <v>61</v>
      </c>
      <c r="C76" s="209"/>
      <c r="D76" s="108" t="s">
        <v>270</v>
      </c>
      <c r="E76" s="108"/>
      <c r="F76" s="154"/>
      <c r="G76" s="108" t="s">
        <v>271</v>
      </c>
      <c r="H76" s="154"/>
    </row>
    <row r="77" spans="2:8" ht="67.5" customHeight="1" x14ac:dyDescent="0.25">
      <c r="B77" s="208" t="s">
        <v>62</v>
      </c>
      <c r="C77" s="209"/>
      <c r="D77" s="150" t="s">
        <v>266</v>
      </c>
      <c r="E77" s="150" t="s">
        <v>271</v>
      </c>
      <c r="F77" s="151">
        <f>6859.19+4840.26+3364.88</f>
        <v>15064.330000000002</v>
      </c>
      <c r="G77" s="150" t="s">
        <v>271</v>
      </c>
      <c r="H77" s="151">
        <f>6923.9+4846.73+3392.71</f>
        <v>15163.34</v>
      </c>
    </row>
    <row r="78" spans="2:8" x14ac:dyDescent="0.25">
      <c r="B78" s="208" t="s">
        <v>290</v>
      </c>
      <c r="C78" s="209"/>
      <c r="D78" s="108" t="s">
        <v>291</v>
      </c>
      <c r="E78" s="161" t="s">
        <v>330</v>
      </c>
      <c r="F78" s="152">
        <f>2882.87+10164+6367.4</f>
        <v>19414.269999999997</v>
      </c>
      <c r="G78" s="108" t="s">
        <v>288</v>
      </c>
      <c r="H78" s="152">
        <f>7933.36+2882.87+2862.69+2384.32</f>
        <v>16063.24</v>
      </c>
    </row>
    <row r="79" spans="2:8" ht="19.5" customHeight="1" x14ac:dyDescent="0.25">
      <c r="B79" s="208" t="s">
        <v>282</v>
      </c>
      <c r="C79" s="209"/>
      <c r="D79" s="108"/>
      <c r="E79" s="108"/>
      <c r="F79" s="154"/>
      <c r="G79" s="108"/>
      <c r="H79" s="152"/>
    </row>
    <row r="80" spans="2:8" ht="17.25" customHeight="1" x14ac:dyDescent="0.25">
      <c r="B80" s="243" t="s">
        <v>63</v>
      </c>
      <c r="C80" s="244"/>
      <c r="D80" s="153"/>
      <c r="E80" s="108" t="s">
        <v>271</v>
      </c>
      <c r="F80" s="152">
        <v>12667.7</v>
      </c>
      <c r="G80" s="108" t="s">
        <v>271</v>
      </c>
      <c r="H80" s="152">
        <v>12667.7</v>
      </c>
    </row>
    <row r="81" spans="2:11" ht="18.75" customHeight="1" x14ac:dyDescent="0.25">
      <c r="B81" s="243" t="s">
        <v>64</v>
      </c>
      <c r="C81" s="244"/>
      <c r="D81" s="108"/>
      <c r="E81" s="108" t="s">
        <v>271</v>
      </c>
      <c r="F81" s="152">
        <v>10741.75</v>
      </c>
      <c r="G81" s="108" t="s">
        <v>271</v>
      </c>
      <c r="H81" s="152">
        <v>10504.03</v>
      </c>
    </row>
    <row r="82" spans="2:11" ht="18" customHeight="1" x14ac:dyDescent="0.25">
      <c r="B82" s="243" t="s">
        <v>294</v>
      </c>
      <c r="C82" s="244"/>
      <c r="D82" s="108"/>
      <c r="E82" s="108"/>
      <c r="F82" s="162"/>
      <c r="G82" s="163"/>
      <c r="H82" s="162"/>
    </row>
    <row r="83" spans="2:11" x14ac:dyDescent="0.25">
      <c r="B83" s="208" t="s">
        <v>295</v>
      </c>
      <c r="C83" s="209"/>
      <c r="D83" s="153" t="s">
        <v>296</v>
      </c>
      <c r="E83" s="108"/>
      <c r="F83" s="152"/>
      <c r="G83" s="108"/>
      <c r="H83" s="152"/>
    </row>
    <row r="84" spans="2:11" x14ac:dyDescent="0.25">
      <c r="B84" s="208" t="s">
        <v>71</v>
      </c>
      <c r="C84" s="209"/>
      <c r="D84" s="153" t="s">
        <v>297</v>
      </c>
      <c r="E84" s="108"/>
      <c r="F84" s="152"/>
      <c r="G84" s="108"/>
      <c r="H84" s="152"/>
    </row>
    <row r="85" spans="2:11" x14ac:dyDescent="0.25">
      <c r="B85" s="208" t="s">
        <v>72</v>
      </c>
      <c r="C85" s="209"/>
      <c r="D85" s="108" t="s">
        <v>299</v>
      </c>
      <c r="E85" s="108" t="s">
        <v>331</v>
      </c>
      <c r="F85" s="152">
        <v>1520.93</v>
      </c>
      <c r="G85" s="108" t="s">
        <v>331</v>
      </c>
      <c r="H85" s="152">
        <v>1520.93</v>
      </c>
    </row>
    <row r="86" spans="2:11" x14ac:dyDescent="0.25">
      <c r="B86" s="208" t="s">
        <v>301</v>
      </c>
      <c r="C86" s="209"/>
      <c r="D86" s="108" t="s">
        <v>291</v>
      </c>
      <c r="E86" s="108" t="s">
        <v>271</v>
      </c>
      <c r="F86" s="152">
        <v>11964.75</v>
      </c>
      <c r="G86" s="108" t="s">
        <v>271</v>
      </c>
      <c r="H86" s="161">
        <v>11964.75</v>
      </c>
      <c r="K86" s="5"/>
    </row>
    <row r="87" spans="2:11" x14ac:dyDescent="0.25">
      <c r="B87" s="208" t="s">
        <v>282</v>
      </c>
      <c r="C87" s="209"/>
      <c r="D87" s="108"/>
      <c r="E87" s="108"/>
      <c r="F87" s="154"/>
      <c r="G87" s="108"/>
      <c r="H87" s="154"/>
    </row>
    <row r="88" spans="2:11" x14ac:dyDescent="0.25">
      <c r="B88" s="208" t="s">
        <v>302</v>
      </c>
      <c r="C88" s="209"/>
      <c r="D88" s="108" t="s">
        <v>291</v>
      </c>
      <c r="E88" s="108" t="s">
        <v>332</v>
      </c>
      <c r="F88" s="152">
        <v>5306.16</v>
      </c>
      <c r="G88" s="108" t="s">
        <v>332</v>
      </c>
      <c r="H88" s="152">
        <v>4365.08</v>
      </c>
    </row>
    <row r="89" spans="2:11" ht="30" customHeight="1" x14ac:dyDescent="0.25">
      <c r="B89" s="208" t="s">
        <v>320</v>
      </c>
      <c r="C89" s="209"/>
      <c r="D89" s="108"/>
      <c r="E89" s="108"/>
      <c r="F89" s="152">
        <v>66628.31</v>
      </c>
      <c r="G89" s="108"/>
      <c r="H89" s="152">
        <v>66628.31</v>
      </c>
    </row>
    <row r="90" spans="2:11" ht="17.25" customHeight="1" x14ac:dyDescent="0.25">
      <c r="B90" s="206" t="s">
        <v>73</v>
      </c>
      <c r="C90" s="207"/>
      <c r="D90" s="108"/>
      <c r="E90" s="108"/>
      <c r="F90" s="165">
        <v>438100</v>
      </c>
      <c r="G90" s="165"/>
      <c r="H90" s="165">
        <f>465603.7-42515.1</f>
        <v>423088.60000000003</v>
      </c>
    </row>
    <row r="91" spans="2:11" x14ac:dyDescent="0.25">
      <c r="B91" s="9"/>
      <c r="C91" s="9"/>
      <c r="D91" s="5"/>
      <c r="E91" s="5"/>
      <c r="F91" s="15"/>
      <c r="G91" s="5"/>
      <c r="H91" s="15"/>
    </row>
    <row r="92" spans="2:11" x14ac:dyDescent="0.25">
      <c r="B92" s="201" t="s">
        <v>81</v>
      </c>
      <c r="C92" s="201"/>
      <c r="D92" s="201"/>
      <c r="E92" s="201"/>
      <c r="F92" s="201"/>
      <c r="G92" s="201"/>
    </row>
    <row r="93" spans="2:11" ht="63" customHeight="1" x14ac:dyDescent="0.25">
      <c r="B93" s="194" t="s">
        <v>29</v>
      </c>
      <c r="C93" s="194"/>
      <c r="D93" s="79" t="s">
        <v>30</v>
      </c>
      <c r="E93" s="79" t="s">
        <v>31</v>
      </c>
      <c r="F93" s="77" t="s">
        <v>82</v>
      </c>
      <c r="G93" s="77" t="s">
        <v>32</v>
      </c>
    </row>
    <row r="94" spans="2:11" x14ac:dyDescent="0.25">
      <c r="B94" s="181" t="s">
        <v>83</v>
      </c>
      <c r="C94" s="183"/>
      <c r="D94" s="75">
        <v>36634.839999999997</v>
      </c>
      <c r="E94" s="75">
        <v>25380.33</v>
      </c>
      <c r="F94" s="75">
        <f>E94</f>
        <v>25380.33</v>
      </c>
      <c r="G94" s="80">
        <f>15701.09-9158.71</f>
        <v>6542.380000000001</v>
      </c>
    </row>
    <row r="95" spans="2:11" x14ac:dyDescent="0.25">
      <c r="B95" s="181" t="s">
        <v>84</v>
      </c>
      <c r="C95" s="183"/>
      <c r="D95" s="75">
        <f>19418-376.76+5259.2-104.47+6004-109.79+10250.36</f>
        <v>40340.54</v>
      </c>
      <c r="E95" s="75">
        <f>19452.78+5295.9+5952.22+10205.59</f>
        <v>40906.490000000005</v>
      </c>
      <c r="F95" s="75">
        <f t="shared" ref="F95:F102" si="1">E95</f>
        <v>40906.490000000005</v>
      </c>
      <c r="G95" s="80">
        <f>6874.03+1826.94+1938.99-4803.4+33.79-1300.96+9.15-1485.2+10.45+336.03</f>
        <v>3439.8199999999988</v>
      </c>
    </row>
    <row r="96" spans="2:11" ht="30" customHeight="1" x14ac:dyDescent="0.25">
      <c r="B96" s="174" t="s">
        <v>85</v>
      </c>
      <c r="C96" s="175"/>
      <c r="D96" s="75">
        <v>12566.52</v>
      </c>
      <c r="E96" s="75">
        <v>12621.46</v>
      </c>
      <c r="F96" s="75">
        <f t="shared" si="1"/>
        <v>12621.46</v>
      </c>
      <c r="G96" s="80">
        <f>5373.92-3141.63</f>
        <v>2232.29</v>
      </c>
    </row>
    <row r="97" spans="2:8" ht="30" customHeight="1" x14ac:dyDescent="0.25">
      <c r="B97" s="174" t="s">
        <v>86</v>
      </c>
      <c r="C97" s="175"/>
      <c r="D97" s="75">
        <v>3211.96</v>
      </c>
      <c r="E97" s="75">
        <v>3226.24</v>
      </c>
      <c r="F97" s="75">
        <f t="shared" si="1"/>
        <v>3226.24</v>
      </c>
      <c r="G97" s="80">
        <f>1307.69-802.99</f>
        <v>504.70000000000005</v>
      </c>
    </row>
    <row r="98" spans="2:8" x14ac:dyDescent="0.25">
      <c r="B98" s="174" t="s">
        <v>87</v>
      </c>
      <c r="C98" s="175"/>
      <c r="D98" s="75">
        <f>46496.64</f>
        <v>46496.639999999999</v>
      </c>
      <c r="E98" s="75">
        <f>84.95+46309.68</f>
        <v>46394.63</v>
      </c>
      <c r="F98" s="75">
        <f t="shared" si="1"/>
        <v>46394.63</v>
      </c>
      <c r="G98" s="80">
        <f>-28.71+16420.3-11624.16</f>
        <v>4767.43</v>
      </c>
    </row>
    <row r="99" spans="2:8" x14ac:dyDescent="0.25">
      <c r="B99" s="174" t="s">
        <v>88</v>
      </c>
      <c r="C99" s="175"/>
      <c r="D99" s="75">
        <f>2268.64+11.68</f>
        <v>2280.3199999999997</v>
      </c>
      <c r="E99" s="75">
        <v>2242.69</v>
      </c>
      <c r="F99" s="75">
        <f t="shared" si="1"/>
        <v>2242.69</v>
      </c>
      <c r="G99" s="80">
        <f>1028.24-570.08</f>
        <v>458.15999999999997</v>
      </c>
    </row>
    <row r="100" spans="2:8" x14ac:dyDescent="0.25">
      <c r="B100" s="174" t="s">
        <v>150</v>
      </c>
      <c r="C100" s="175"/>
      <c r="D100" s="75">
        <f>12390</f>
        <v>12390</v>
      </c>
      <c r="E100" s="75">
        <f>12388.53+19.25</f>
        <v>12407.78</v>
      </c>
      <c r="F100" s="75">
        <f t="shared" si="1"/>
        <v>12407.78</v>
      </c>
      <c r="G100" s="80">
        <f>4502.66+359.21-3080</f>
        <v>1781.87</v>
      </c>
    </row>
    <row r="101" spans="2:8" x14ac:dyDescent="0.25">
      <c r="B101" s="174" t="s">
        <v>89</v>
      </c>
      <c r="C101" s="175"/>
      <c r="D101" s="75">
        <f>8050-50</f>
        <v>8000</v>
      </c>
      <c r="E101" s="75">
        <v>8192.9</v>
      </c>
      <c r="F101" s="75">
        <f t="shared" si="1"/>
        <v>8192.9</v>
      </c>
      <c r="G101" s="80">
        <f>3323.75-2000</f>
        <v>1323.75</v>
      </c>
    </row>
    <row r="102" spans="2:8" ht="30" x14ac:dyDescent="0.25">
      <c r="B102" s="72" t="s">
        <v>81</v>
      </c>
      <c r="C102" s="73"/>
      <c r="D102" s="75">
        <v>13962.8</v>
      </c>
      <c r="E102" s="75">
        <f>14045.04+2668.34+3.15+28.58</f>
        <v>16745.110000000004</v>
      </c>
      <c r="F102" s="75">
        <f t="shared" si="1"/>
        <v>16745.110000000004</v>
      </c>
      <c r="G102" s="80">
        <f>6399.65+331.04+58.79+533.15-3490.7</f>
        <v>3831.9299999999994</v>
      </c>
    </row>
    <row r="103" spans="2:8" ht="18.75" customHeight="1" x14ac:dyDescent="0.25">
      <c r="B103" s="202" t="s">
        <v>90</v>
      </c>
      <c r="C103" s="203"/>
      <c r="D103" s="74">
        <f>SUM(D94:D102)</f>
        <v>175883.62</v>
      </c>
      <c r="E103" s="74">
        <f>SUM(E94:E102)</f>
        <v>168117.63</v>
      </c>
      <c r="F103" s="75">
        <f>E103</f>
        <v>168117.63</v>
      </c>
      <c r="G103" s="74">
        <f>SUM(G94:G102)</f>
        <v>24882.33</v>
      </c>
    </row>
    <row r="104" spans="2:8" x14ac:dyDescent="0.25">
      <c r="B104" s="202" t="s">
        <v>91</v>
      </c>
      <c r="C104" s="203"/>
      <c r="D104" s="82">
        <f>D103+F115+E38+C138</f>
        <v>1302114.1399999999</v>
      </c>
      <c r="E104" s="82">
        <f>E103+G115+F38+D138</f>
        <v>1171527.0699999998</v>
      </c>
      <c r="F104" s="82">
        <f>E104</f>
        <v>1171527.0699999998</v>
      </c>
      <c r="G104" s="82">
        <f>G38+G103+H115+F138</f>
        <v>183147.12</v>
      </c>
    </row>
    <row r="105" spans="2:8" x14ac:dyDescent="0.25">
      <c r="B105" s="16"/>
      <c r="C105" s="16"/>
      <c r="D105" s="16"/>
      <c r="E105" s="17"/>
      <c r="F105" s="17"/>
      <c r="G105" s="17"/>
      <c r="H105" s="17"/>
    </row>
    <row r="106" spans="2:8" x14ac:dyDescent="0.25">
      <c r="B106" s="204" t="s">
        <v>92</v>
      </c>
      <c r="C106" s="201"/>
      <c r="D106" s="201"/>
      <c r="E106" s="201"/>
      <c r="F106" s="201"/>
    </row>
    <row r="107" spans="2:8" ht="38.25" customHeight="1" x14ac:dyDescent="0.25">
      <c r="B107" s="194" t="s">
        <v>29</v>
      </c>
      <c r="C107" s="194" t="s">
        <v>93</v>
      </c>
      <c r="D107" s="194"/>
      <c r="E107" s="205" t="s">
        <v>94</v>
      </c>
      <c r="F107" s="194" t="s">
        <v>30</v>
      </c>
      <c r="G107" s="194" t="s">
        <v>31</v>
      </c>
      <c r="H107" s="195" t="s">
        <v>95</v>
      </c>
    </row>
    <row r="108" spans="2:8" ht="35.25" customHeight="1" x14ac:dyDescent="0.25">
      <c r="B108" s="194"/>
      <c r="C108" s="79" t="s">
        <v>96</v>
      </c>
      <c r="D108" s="19" t="s">
        <v>97</v>
      </c>
      <c r="E108" s="205"/>
      <c r="F108" s="194"/>
      <c r="G108" s="194"/>
      <c r="H108" s="195"/>
    </row>
    <row r="109" spans="2:8" x14ac:dyDescent="0.25">
      <c r="B109" s="10" t="s">
        <v>98</v>
      </c>
      <c r="C109" s="75">
        <v>1400.08</v>
      </c>
      <c r="D109" s="42">
        <v>1439.26</v>
      </c>
      <c r="E109" s="110">
        <v>159.84</v>
      </c>
      <c r="F109" s="75">
        <f>-963.65+230055.47+534.31</f>
        <v>229626.13</v>
      </c>
      <c r="G109" s="75">
        <f>392.42+124917.18</f>
        <v>125309.59999999999</v>
      </c>
      <c r="H109" s="75">
        <f>582.37+134209.62-97823.89-17.54</f>
        <v>36950.55999999999</v>
      </c>
    </row>
    <row r="110" spans="2:8" x14ac:dyDescent="0.25">
      <c r="B110" s="10" t="s">
        <v>147</v>
      </c>
      <c r="C110" s="75">
        <v>22.15</v>
      </c>
      <c r="D110" s="42">
        <v>26.44</v>
      </c>
      <c r="E110" s="110">
        <v>960.06</v>
      </c>
      <c r="F110" s="75">
        <f>115834.01+1822.82+5124.56-965.7+1109.04-189.12+24288.43+351.93</f>
        <v>147375.97</v>
      </c>
      <c r="G110" s="75">
        <f>111859.44+3045.78+631.87+21819.53</f>
        <v>137356.62</v>
      </c>
      <c r="H110" s="75">
        <f>64867.31+2143.84+475.11+12491.15-0.01-29657.7-837.07-1257.16+36.51-303.12+7.61-7150.06-159.41</f>
        <v>40656.999999999993</v>
      </c>
    </row>
    <row r="111" spans="2:8" x14ac:dyDescent="0.25">
      <c r="B111" s="10" t="s">
        <v>99</v>
      </c>
      <c r="C111" s="75">
        <v>18.43</v>
      </c>
      <c r="D111" s="42">
        <v>19.22</v>
      </c>
      <c r="E111" s="110">
        <v>2010</v>
      </c>
      <c r="F111" s="75">
        <f>3880.47-564.13+26564.16+728.28</f>
        <v>30608.78</v>
      </c>
      <c r="G111" s="75">
        <f>3296.89+8.75+28570.18+31.35</f>
        <v>31907.17</v>
      </c>
      <c r="H111" s="75">
        <f>-302.1-1.11+15348.09+584.71-1050.58+203.24-5983.92-191.57</f>
        <v>8606.76</v>
      </c>
    </row>
    <row r="112" spans="2:8" x14ac:dyDescent="0.25">
      <c r="B112" s="10" t="s">
        <v>100</v>
      </c>
      <c r="C112" s="75">
        <v>12.31</v>
      </c>
      <c r="D112" s="42">
        <v>12.84</v>
      </c>
      <c r="E112" s="110">
        <v>2897.58</v>
      </c>
      <c r="F112" s="75">
        <f>29541.37+744.67-83.09</f>
        <v>30202.949999999997</v>
      </c>
      <c r="G112" s="75">
        <f>29879.47+9.05</f>
        <v>29888.52</v>
      </c>
      <c r="H112" s="75">
        <f>17611.33+18.15-7469.87-208.18</f>
        <v>9951.4300000000039</v>
      </c>
    </row>
    <row r="113" spans="2:8" x14ac:dyDescent="0.25">
      <c r="B113" s="10" t="s">
        <v>101</v>
      </c>
      <c r="C113" s="75" t="s">
        <v>145</v>
      </c>
      <c r="D113" s="42" t="s">
        <v>146</v>
      </c>
      <c r="E113" s="110">
        <v>38753.94</v>
      </c>
      <c r="F113" s="75">
        <f>22952.11+1138.54+94758.96-5339.85</f>
        <v>113509.76000000001</v>
      </c>
      <c r="G113" s="75">
        <f>21877.83+90830.12</f>
        <v>112707.95</v>
      </c>
      <c r="H113" s="75">
        <f>9730.98+34239.86-5001.24-1035.98-25593.91+2966.78</f>
        <v>15306.489999999996</v>
      </c>
    </row>
    <row r="114" spans="2:8" x14ac:dyDescent="0.25">
      <c r="B114" s="10" t="s">
        <v>102</v>
      </c>
      <c r="C114" s="75">
        <v>2.2999999999999998</v>
      </c>
      <c r="D114" s="42">
        <v>2.39</v>
      </c>
      <c r="E114" s="110">
        <f t="shared" ref="E114" si="2">F114/D114</f>
        <v>4738.263598326359</v>
      </c>
      <c r="F114" s="75">
        <f>11342.55-18.1</f>
        <v>11324.449999999999</v>
      </c>
      <c r="G114" s="75">
        <v>11587.01</v>
      </c>
      <c r="H114" s="75">
        <f>4529.75-3012.68-39.12</f>
        <v>1477.9500000000003</v>
      </c>
    </row>
    <row r="115" spans="2:8" x14ac:dyDescent="0.25">
      <c r="B115" s="11" t="s">
        <v>103</v>
      </c>
      <c r="C115" s="74"/>
      <c r="D115" s="42"/>
      <c r="E115" s="4"/>
      <c r="F115" s="74">
        <f>SUM(F109:F114)</f>
        <v>562648.04</v>
      </c>
      <c r="G115" s="74">
        <f>SUM(G109:G114)</f>
        <v>448756.87</v>
      </c>
      <c r="H115" s="74">
        <f>SUM(H109:H114)</f>
        <v>112950.18999999997</v>
      </c>
    </row>
    <row r="116" spans="2:8" x14ac:dyDescent="0.25">
      <c r="B116" s="16"/>
      <c r="C116" s="16"/>
      <c r="D116" s="16"/>
      <c r="E116" s="17"/>
      <c r="F116" s="17"/>
      <c r="G116" s="17"/>
      <c r="H116" s="17"/>
    </row>
    <row r="117" spans="2:8" x14ac:dyDescent="0.25">
      <c r="B117" s="16"/>
      <c r="C117" s="16" t="s">
        <v>244</v>
      </c>
      <c r="D117" s="16"/>
      <c r="E117" s="17"/>
      <c r="F117" s="17"/>
      <c r="G117" s="17"/>
      <c r="H117" s="17"/>
    </row>
    <row r="118" spans="2:8" x14ac:dyDescent="0.25">
      <c r="B118" s="137" t="s">
        <v>228</v>
      </c>
      <c r="C118" s="137" t="s">
        <v>229</v>
      </c>
      <c r="D118" s="137"/>
      <c r="E118" s="131" t="s">
        <v>230</v>
      </c>
      <c r="F118" s="17"/>
      <c r="G118" s="17"/>
      <c r="H118" s="17"/>
    </row>
    <row r="119" spans="2:8" x14ac:dyDescent="0.25">
      <c r="B119" s="133" t="s">
        <v>231</v>
      </c>
      <c r="C119" s="199">
        <v>8</v>
      </c>
      <c r="D119" s="200"/>
      <c r="E119" s="105">
        <v>100</v>
      </c>
      <c r="F119" s="17"/>
      <c r="G119" s="17"/>
      <c r="H119" s="17"/>
    </row>
    <row r="120" spans="2:8" x14ac:dyDescent="0.25">
      <c r="B120" s="133" t="s">
        <v>232</v>
      </c>
      <c r="C120" s="199">
        <v>19</v>
      </c>
      <c r="D120" s="200"/>
      <c r="E120" s="105">
        <v>100</v>
      </c>
      <c r="F120" s="17"/>
      <c r="G120" s="17"/>
      <c r="H120" s="17"/>
    </row>
    <row r="121" spans="2:8" x14ac:dyDescent="0.25">
      <c r="B121" s="133" t="s">
        <v>233</v>
      </c>
      <c r="C121" s="199"/>
      <c r="D121" s="200"/>
      <c r="E121" s="105"/>
      <c r="F121" s="17"/>
      <c r="G121" s="17"/>
      <c r="H121" s="17"/>
    </row>
    <row r="122" spans="2:8" x14ac:dyDescent="0.25">
      <c r="B122" s="133" t="s">
        <v>234</v>
      </c>
      <c r="C122" s="199">
        <v>1</v>
      </c>
      <c r="D122" s="200"/>
      <c r="E122" s="105">
        <v>100</v>
      </c>
      <c r="F122" s="17"/>
      <c r="G122" s="17"/>
      <c r="H122" s="17"/>
    </row>
    <row r="123" spans="2:8" x14ac:dyDescent="0.25">
      <c r="B123" s="133" t="s">
        <v>235</v>
      </c>
      <c r="C123" s="199"/>
      <c r="D123" s="200"/>
      <c r="E123" s="105"/>
      <c r="F123" s="17"/>
      <c r="G123" s="17"/>
      <c r="H123" s="17"/>
    </row>
    <row r="124" spans="2:8" x14ac:dyDescent="0.25">
      <c r="B124" s="133" t="s">
        <v>236</v>
      </c>
      <c r="C124" s="199"/>
      <c r="D124" s="200"/>
      <c r="E124" s="129"/>
      <c r="F124" s="17"/>
      <c r="G124" s="17"/>
      <c r="H124" s="17"/>
    </row>
    <row r="125" spans="2:8" x14ac:dyDescent="0.25">
      <c r="B125" s="133" t="s">
        <v>70</v>
      </c>
      <c r="C125" s="199">
        <v>7</v>
      </c>
      <c r="D125" s="200"/>
      <c r="E125" s="105">
        <v>100</v>
      </c>
      <c r="F125" s="17"/>
      <c r="G125" s="17"/>
      <c r="H125" s="17"/>
    </row>
    <row r="126" spans="2:8" x14ac:dyDescent="0.25">
      <c r="B126" s="133" t="s">
        <v>237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238</v>
      </c>
      <c r="C127" s="199"/>
      <c r="D127" s="200"/>
      <c r="E127" s="105"/>
      <c r="F127" s="17"/>
      <c r="G127" s="17"/>
      <c r="H127" s="17"/>
    </row>
    <row r="128" spans="2:8" x14ac:dyDescent="0.25">
      <c r="B128" s="133" t="s">
        <v>239</v>
      </c>
      <c r="C128" s="199"/>
      <c r="D128" s="200"/>
      <c r="E128" s="105"/>
      <c r="F128" s="17"/>
      <c r="G128" s="17"/>
      <c r="H128" s="17"/>
    </row>
    <row r="129" spans="2:8" x14ac:dyDescent="0.25">
      <c r="B129" s="133" t="s">
        <v>240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241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242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243</v>
      </c>
      <c r="C132" s="199"/>
      <c r="D132" s="200"/>
      <c r="E132" s="105"/>
      <c r="F132" s="17"/>
      <c r="G132" s="17"/>
      <c r="H132" s="17"/>
    </row>
    <row r="133" spans="2:8" x14ac:dyDescent="0.25">
      <c r="B133" s="139" t="s">
        <v>103</v>
      </c>
      <c r="C133" s="245">
        <f>SUM(C119:C132)</f>
        <v>35</v>
      </c>
      <c r="D133" s="246"/>
      <c r="E133" s="123">
        <v>100</v>
      </c>
      <c r="F133" s="9"/>
      <c r="G133" s="9"/>
      <c r="H133" s="17"/>
    </row>
    <row r="134" spans="2:8" x14ac:dyDescent="0.25">
      <c r="B134" s="12"/>
      <c r="C134" s="12"/>
      <c r="D134" s="9"/>
      <c r="E134" s="9"/>
      <c r="F134" s="9"/>
      <c r="G134" s="9"/>
    </row>
    <row r="135" spans="2:8" ht="44.25" customHeight="1" x14ac:dyDescent="0.25">
      <c r="B135" s="33"/>
      <c r="C135" s="74" t="s">
        <v>30</v>
      </c>
      <c r="D135" s="74" t="s">
        <v>31</v>
      </c>
      <c r="E135" s="77" t="s">
        <v>104</v>
      </c>
      <c r="F135" s="77" t="s">
        <v>32</v>
      </c>
    </row>
    <row r="136" spans="2:8" x14ac:dyDescent="0.25">
      <c r="B136" s="32" t="s">
        <v>105</v>
      </c>
      <c r="C136" s="75">
        <f>66205+365</f>
        <v>66570</v>
      </c>
      <c r="D136" s="75">
        <f>65461.03</f>
        <v>65461.03</v>
      </c>
      <c r="E136" s="75"/>
      <c r="F136" s="80">
        <f>22400.41-16642.5</f>
        <v>5757.91</v>
      </c>
    </row>
    <row r="137" spans="2:8" x14ac:dyDescent="0.25">
      <c r="B137" s="32" t="s">
        <v>106</v>
      </c>
      <c r="C137" s="75">
        <f>4021.2</f>
        <v>4021.2</v>
      </c>
      <c r="D137" s="75">
        <f>35.35+3812.79</f>
        <v>3848.14</v>
      </c>
      <c r="E137" s="75"/>
      <c r="F137" s="80">
        <f>659.64+7269.38-1005.3</f>
        <v>6923.72</v>
      </c>
    </row>
    <row r="138" spans="2:8" x14ac:dyDescent="0.25">
      <c r="B138" s="33" t="s">
        <v>107</v>
      </c>
      <c r="C138" s="74">
        <f>SUM(C136:C137)</f>
        <v>70591.199999999997</v>
      </c>
      <c r="D138" s="74">
        <f>SUM(D136:D137)</f>
        <v>69309.17</v>
      </c>
      <c r="E138" s="75"/>
      <c r="F138" s="74">
        <f>SUM(F136:F137)</f>
        <v>12681.630000000001</v>
      </c>
    </row>
    <row r="140" spans="2:8" x14ac:dyDescent="0.25">
      <c r="B140" s="177" t="s">
        <v>108</v>
      </c>
      <c r="C140" s="178"/>
      <c r="D140" s="179"/>
      <c r="E140" s="196">
        <f>G104</f>
        <v>183147.12</v>
      </c>
      <c r="F140" s="197"/>
    </row>
    <row r="142" spans="2:8" x14ac:dyDescent="0.25">
      <c r="B142" s="198" t="s">
        <v>109</v>
      </c>
      <c r="C142" s="198"/>
      <c r="D142" s="198"/>
      <c r="E142" s="193"/>
      <c r="F142" s="193"/>
    </row>
    <row r="143" spans="2:8" x14ac:dyDescent="0.25">
      <c r="B143" s="192" t="s">
        <v>110</v>
      </c>
      <c r="C143" s="192"/>
      <c r="D143" s="192"/>
      <c r="E143" s="193"/>
      <c r="F143" s="193"/>
    </row>
    <row r="144" spans="2:8" x14ac:dyDescent="0.25">
      <c r="B144" s="192" t="s">
        <v>111</v>
      </c>
      <c r="C144" s="192"/>
      <c r="D144" s="192"/>
      <c r="E144" s="193"/>
      <c r="F144" s="193"/>
    </row>
    <row r="145" spans="2:8" x14ac:dyDescent="0.25">
      <c r="B145" s="192" t="s">
        <v>112</v>
      </c>
      <c r="C145" s="192"/>
      <c r="D145" s="192"/>
      <c r="E145" s="193"/>
      <c r="F145" s="193"/>
    </row>
    <row r="146" spans="2:8" x14ac:dyDescent="0.25">
      <c r="B146" s="192" t="s">
        <v>167</v>
      </c>
      <c r="C146" s="192"/>
      <c r="D146" s="192"/>
      <c r="E146" s="193"/>
      <c r="F146" s="193"/>
    </row>
    <row r="148" spans="2:8" x14ac:dyDescent="0.25">
      <c r="B148" s="177" t="s">
        <v>114</v>
      </c>
      <c r="C148" s="178"/>
      <c r="D148" s="179"/>
      <c r="E148" s="193"/>
      <c r="F148" s="193"/>
    </row>
    <row r="150" spans="2:8" hidden="1" x14ac:dyDescent="0.25">
      <c r="B150" s="181" t="s">
        <v>123</v>
      </c>
      <c r="C150" s="183"/>
      <c r="D150" s="75" t="s">
        <v>124</v>
      </c>
      <c r="E150" s="176" t="s">
        <v>122</v>
      </c>
      <c r="F150" s="176"/>
    </row>
    <row r="151" spans="2:8" hidden="1" x14ac:dyDescent="0.25">
      <c r="B151" s="181" t="s">
        <v>125</v>
      </c>
      <c r="C151" s="183"/>
      <c r="D151" s="75" t="s">
        <v>126</v>
      </c>
      <c r="E151" s="176" t="s">
        <v>122</v>
      </c>
      <c r="F151" s="176"/>
    </row>
    <row r="152" spans="2:8" ht="30" hidden="1" customHeight="1" x14ac:dyDescent="0.25">
      <c r="B152" s="174" t="s">
        <v>127</v>
      </c>
      <c r="C152" s="175"/>
      <c r="D152" s="75" t="s">
        <v>128</v>
      </c>
      <c r="E152" s="176" t="s">
        <v>122</v>
      </c>
      <c r="F152" s="176"/>
    </row>
    <row r="153" spans="2:8" ht="30" hidden="1" customHeight="1" x14ac:dyDescent="0.25">
      <c r="B153" s="174" t="s">
        <v>129</v>
      </c>
      <c r="C153" s="175"/>
      <c r="D153" s="75" t="s">
        <v>130</v>
      </c>
      <c r="E153" s="176"/>
      <c r="F153" s="176"/>
    </row>
    <row r="154" spans="2:8" ht="30" hidden="1" x14ac:dyDescent="0.25">
      <c r="B154" s="174" t="s">
        <v>131</v>
      </c>
      <c r="C154" s="175"/>
      <c r="D154" s="24" t="s">
        <v>132</v>
      </c>
      <c r="E154" s="176" t="s">
        <v>133</v>
      </c>
      <c r="F154" s="176"/>
    </row>
    <row r="155" spans="2:8" hidden="1" x14ac:dyDescent="0.25">
      <c r="B155" s="181" t="s">
        <v>134</v>
      </c>
      <c r="C155" s="183"/>
      <c r="D155" s="10" t="s">
        <v>135</v>
      </c>
      <c r="E155" s="176"/>
      <c r="F155" s="176"/>
    </row>
    <row r="156" spans="2:8" ht="30" hidden="1" customHeight="1" x14ac:dyDescent="0.25">
      <c r="B156" s="174" t="s">
        <v>136</v>
      </c>
      <c r="C156" s="175"/>
      <c r="D156" s="10" t="s">
        <v>137</v>
      </c>
      <c r="E156" s="176"/>
      <c r="F156" s="176"/>
    </row>
    <row r="157" spans="2:8" ht="30" hidden="1" customHeight="1" x14ac:dyDescent="0.25">
      <c r="B157" s="174" t="s">
        <v>138</v>
      </c>
      <c r="C157" s="175"/>
      <c r="D157" s="75" t="s">
        <v>139</v>
      </c>
      <c r="E157" s="176"/>
      <c r="F157" s="176"/>
    </row>
    <row r="158" spans="2:8" x14ac:dyDescent="0.25">
      <c r="B158" s="177" t="s">
        <v>74</v>
      </c>
      <c r="C158" s="178"/>
      <c r="D158" s="179"/>
      <c r="E158" s="180">
        <v>1520</v>
      </c>
      <c r="F158" s="180"/>
      <c r="G158" s="25"/>
      <c r="H158" s="25"/>
    </row>
    <row r="159" spans="2:8" x14ac:dyDescent="0.25">
      <c r="B159" s="181" t="s">
        <v>75</v>
      </c>
      <c r="C159" s="182"/>
      <c r="D159" s="183"/>
      <c r="E159" s="176"/>
      <c r="F159" s="176"/>
      <c r="G159" s="26"/>
      <c r="H159" s="26"/>
    </row>
    <row r="160" spans="2:8" x14ac:dyDescent="0.25">
      <c r="B160" s="181" t="s">
        <v>76</v>
      </c>
      <c r="C160" s="182"/>
      <c r="D160" s="183"/>
      <c r="E160" s="184">
        <v>320</v>
      </c>
      <c r="F160" s="184"/>
      <c r="G160" s="27"/>
      <c r="H160" s="27"/>
    </row>
    <row r="161" spans="2:8" x14ac:dyDescent="0.25">
      <c r="B161" s="181" t="s">
        <v>77</v>
      </c>
      <c r="C161" s="182"/>
      <c r="D161" s="183"/>
      <c r="E161" s="184"/>
      <c r="F161" s="184"/>
      <c r="G161" s="27"/>
      <c r="H161" s="27"/>
    </row>
    <row r="162" spans="2:8" x14ac:dyDescent="0.25">
      <c r="B162" s="177" t="s">
        <v>78</v>
      </c>
      <c r="C162" s="178"/>
      <c r="D162" s="179"/>
      <c r="E162" s="180"/>
      <c r="F162" s="180"/>
      <c r="G162" s="25"/>
      <c r="H162" s="25"/>
    </row>
    <row r="163" spans="2:8" x14ac:dyDescent="0.25">
      <c r="B163" s="181" t="s">
        <v>79</v>
      </c>
      <c r="C163" s="182"/>
      <c r="D163" s="183"/>
      <c r="E163" s="184"/>
      <c r="F163" s="184"/>
      <c r="G163" s="27"/>
      <c r="H163" s="27"/>
    </row>
    <row r="164" spans="2:8" x14ac:dyDescent="0.25">
      <c r="B164" s="177" t="s">
        <v>80</v>
      </c>
      <c r="C164" s="178"/>
      <c r="D164" s="179"/>
      <c r="E164" s="184"/>
      <c r="F164" s="184"/>
      <c r="G164" s="27"/>
      <c r="H164" s="27"/>
    </row>
    <row r="165" spans="2:8" x14ac:dyDescent="0.25">
      <c r="B165" s="16"/>
      <c r="C165" s="16"/>
      <c r="D165" s="16"/>
      <c r="E165" s="17"/>
      <c r="F165" s="17"/>
      <c r="G165" s="17"/>
      <c r="H165" s="17"/>
    </row>
    <row r="166" spans="2:8" ht="36" customHeight="1" x14ac:dyDescent="0.25">
      <c r="B166" s="185" t="s">
        <v>115</v>
      </c>
      <c r="C166" s="186"/>
      <c r="D166" s="186"/>
      <c r="E166" s="186"/>
      <c r="F166" s="21" t="s">
        <v>116</v>
      </c>
    </row>
    <row r="167" spans="2:8" ht="14.45" customHeight="1" x14ac:dyDescent="0.25">
      <c r="B167" s="187" t="s">
        <v>117</v>
      </c>
      <c r="C167" s="188" t="s">
        <v>118</v>
      </c>
      <c r="D167" s="190" t="s">
        <v>119</v>
      </c>
      <c r="E167" s="191"/>
      <c r="F167" s="4"/>
    </row>
    <row r="168" spans="2:8" x14ac:dyDescent="0.25">
      <c r="B168" s="187"/>
      <c r="C168" s="189"/>
      <c r="D168" s="81" t="s">
        <v>120</v>
      </c>
      <c r="E168" s="81" t="s">
        <v>121</v>
      </c>
      <c r="F168" s="4"/>
    </row>
    <row r="169" spans="2:8" x14ac:dyDescent="0.25">
      <c r="B169" s="35"/>
      <c r="C169" s="34"/>
      <c r="D169" s="4"/>
      <c r="E169" s="4"/>
      <c r="F169" s="4"/>
    </row>
    <row r="170" spans="2:8" x14ac:dyDescent="0.25">
      <c r="B170" s="35"/>
      <c r="C170" s="35"/>
      <c r="D170" s="4"/>
      <c r="E170" s="4"/>
      <c r="F170" s="4"/>
    </row>
    <row r="171" spans="2:8" x14ac:dyDescent="0.25">
      <c r="B171" s="120"/>
      <c r="C171" s="120"/>
      <c r="D171" s="121"/>
      <c r="E171" s="121"/>
      <c r="F171" s="121"/>
    </row>
    <row r="172" spans="2:8" x14ac:dyDescent="0.25">
      <c r="B172" s="120" t="s">
        <v>247</v>
      </c>
      <c r="C172" s="120"/>
      <c r="D172" s="121" t="s">
        <v>248</v>
      </c>
      <c r="E172" s="121"/>
      <c r="F172" s="121"/>
    </row>
    <row r="173" spans="2:8" x14ac:dyDescent="0.25">
      <c r="B173" s="120"/>
      <c r="C173" s="120"/>
      <c r="D173" s="121"/>
      <c r="E173" s="121"/>
      <c r="F173" s="121"/>
    </row>
  </sheetData>
  <mergeCells count="180">
    <mergeCell ref="B67:C67"/>
    <mergeCell ref="B68:C68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70:C70"/>
    <mergeCell ref="B71:C71"/>
    <mergeCell ref="B72:C72"/>
    <mergeCell ref="B73:C73"/>
    <mergeCell ref="B74:C74"/>
    <mergeCell ref="B75:C75"/>
    <mergeCell ref="B50:C50"/>
    <mergeCell ref="B51:C51"/>
    <mergeCell ref="B52:C52"/>
    <mergeCell ref="B53:C53"/>
    <mergeCell ref="B54:C54"/>
    <mergeCell ref="B69:C69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88:C88"/>
    <mergeCell ref="B89:C89"/>
    <mergeCell ref="B90:C90"/>
    <mergeCell ref="B94:C94"/>
    <mergeCell ref="B95:C95"/>
    <mergeCell ref="B96:C96"/>
    <mergeCell ref="B97:C97"/>
    <mergeCell ref="B98:C98"/>
    <mergeCell ref="B99:C99"/>
    <mergeCell ref="B92:G92"/>
    <mergeCell ref="B93:C93"/>
    <mergeCell ref="B100:C100"/>
    <mergeCell ref="B101:C101"/>
    <mergeCell ref="B103:C103"/>
    <mergeCell ref="B104:C104"/>
    <mergeCell ref="B106:F106"/>
    <mergeCell ref="B107:B108"/>
    <mergeCell ref="C107:D107"/>
    <mergeCell ref="E107:E108"/>
    <mergeCell ref="F107:F108"/>
    <mergeCell ref="G107:G108"/>
    <mergeCell ref="H107:H108"/>
    <mergeCell ref="B140:D140"/>
    <mergeCell ref="E140:F140"/>
    <mergeCell ref="B142:D142"/>
    <mergeCell ref="E142:F142"/>
    <mergeCell ref="C127:D127"/>
    <mergeCell ref="C128:D128"/>
    <mergeCell ref="C129:D129"/>
    <mergeCell ref="C130:D130"/>
    <mergeCell ref="C131:D131"/>
    <mergeCell ref="C132:D132"/>
    <mergeCell ref="C133:D133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B148:D148"/>
    <mergeCell ref="E148:F148"/>
    <mergeCell ref="B150:C150"/>
    <mergeCell ref="E150:F150"/>
    <mergeCell ref="E143:F143"/>
    <mergeCell ref="B144:D144"/>
    <mergeCell ref="E144:F144"/>
    <mergeCell ref="B145:D145"/>
    <mergeCell ref="E145:F145"/>
    <mergeCell ref="B166:E166"/>
    <mergeCell ref="B167:B168"/>
    <mergeCell ref="C167:C168"/>
    <mergeCell ref="D167:E167"/>
    <mergeCell ref="B160:D160"/>
    <mergeCell ref="E160:F160"/>
    <mergeCell ref="B161:D161"/>
    <mergeCell ref="E161:F161"/>
    <mergeCell ref="B162:D162"/>
    <mergeCell ref="E162:F162"/>
    <mergeCell ref="B163:D163"/>
    <mergeCell ref="B157:C157"/>
    <mergeCell ref="B151:C151"/>
    <mergeCell ref="B143:D143"/>
    <mergeCell ref="E163:F163"/>
    <mergeCell ref="B164:D164"/>
    <mergeCell ref="E164:F164"/>
    <mergeCell ref="E157:F157"/>
    <mergeCell ref="B158:D158"/>
    <mergeCell ref="E158:F158"/>
    <mergeCell ref="B159:D159"/>
    <mergeCell ref="E159:F159"/>
    <mergeCell ref="B154:C154"/>
    <mergeCell ref="E154:F154"/>
    <mergeCell ref="B155:C155"/>
    <mergeCell ref="E155:F155"/>
    <mergeCell ref="B156:C156"/>
    <mergeCell ref="E156:F156"/>
    <mergeCell ref="E151:F151"/>
    <mergeCell ref="B152:C152"/>
    <mergeCell ref="E152:F152"/>
    <mergeCell ref="B153:C153"/>
    <mergeCell ref="E153:F153"/>
    <mergeCell ref="B146:D146"/>
    <mergeCell ref="E146:F146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0" max="7" man="1"/>
    <brk id="1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5"/>
  <sheetViews>
    <sheetView view="pageBreakPreview" topLeftCell="A2" zoomScale="70" zoomScaleSheetLayoutView="70" workbookViewId="0">
      <selection activeCell="F30" sqref="F30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8" width="15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182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183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4257.8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1414.3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2843.5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4257.8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162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33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83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85586.87</v>
      </c>
      <c r="E22" s="7">
        <v>85586.87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718545.05700000003</v>
      </c>
      <c r="E23" s="45">
        <f>E38+D96+C140</f>
        <v>355668.79</v>
      </c>
      <c r="F23" s="7">
        <f>D97+D98+D99+D100+D101+D102+D103+D104</f>
        <v>56151.430000000008</v>
      </c>
      <c r="G23" s="7">
        <f>F111+F112+F113+F114+F115+F116</f>
        <v>306724.837</v>
      </c>
      <c r="H23" s="2"/>
    </row>
    <row r="24" spans="1:8" x14ac:dyDescent="0.25">
      <c r="B24" s="223" t="s">
        <v>24</v>
      </c>
      <c r="C24" s="224"/>
      <c r="D24" s="43">
        <f>E24+F24+G24</f>
        <v>725084.29</v>
      </c>
      <c r="E24" s="45">
        <f>F38+E96+D138+D139</f>
        <v>314855.44</v>
      </c>
      <c r="F24" s="7">
        <f>E97+E98+E100+E101+E104+E99+E102+E103</f>
        <v>80331.590000000011</v>
      </c>
      <c r="G24" s="7">
        <f>G117</f>
        <v>329897.25999999995</v>
      </c>
      <c r="H24" s="2"/>
    </row>
    <row r="25" spans="1:8" x14ac:dyDescent="0.25">
      <c r="B25" s="223" t="s">
        <v>25</v>
      </c>
      <c r="C25" s="224"/>
      <c r="D25" s="7">
        <f>E25+F25+G25</f>
        <v>899942.79</v>
      </c>
      <c r="E25" s="7">
        <f>D140+458844.3</f>
        <v>489713.94</v>
      </c>
      <c r="F25" s="7">
        <f>F24</f>
        <v>80331.590000000011</v>
      </c>
      <c r="G25" s="7">
        <f>G24</f>
        <v>329897.25999999995</v>
      </c>
      <c r="H25" s="2"/>
    </row>
    <row r="26" spans="1:8" x14ac:dyDescent="0.25">
      <c r="B26" s="223" t="s">
        <v>251</v>
      </c>
      <c r="C26" s="224"/>
      <c r="D26" s="7">
        <f>E26+F26+G26</f>
        <v>625611.01</v>
      </c>
      <c r="E26" s="45">
        <f>G38+G96+F140</f>
        <v>153071.29999999999</v>
      </c>
      <c r="F26" s="45">
        <f>G105-G96</f>
        <v>86994.950000000026</v>
      </c>
      <c r="G26" s="45">
        <f>H117</f>
        <v>385544.76</v>
      </c>
      <c r="H26" s="2"/>
    </row>
    <row r="27" spans="1:8" x14ac:dyDescent="0.25">
      <c r="B27" s="5"/>
      <c r="C27" s="5"/>
      <c r="D27" s="5"/>
      <c r="E27" s="6"/>
      <c r="F27" s="6"/>
      <c r="G27" s="2"/>
      <c r="H27" s="2" t="s">
        <v>261</v>
      </c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26137.32</v>
      </c>
      <c r="F31" s="40">
        <v>24743.09</v>
      </c>
      <c r="G31" s="88">
        <f>13813.21-2305.37</f>
        <v>11507.84</v>
      </c>
      <c r="H31" s="5"/>
    </row>
    <row r="32" spans="1:8" x14ac:dyDescent="0.25">
      <c r="B32" s="174" t="s">
        <v>34</v>
      </c>
      <c r="C32" s="212"/>
      <c r="D32" s="175"/>
      <c r="E32" s="88">
        <v>52442.7</v>
      </c>
      <c r="F32" s="40">
        <v>47468.98</v>
      </c>
      <c r="G32" s="88">
        <f>18382.59-2998.33</f>
        <v>15384.26</v>
      </c>
      <c r="H32" s="5"/>
    </row>
    <row r="33" spans="2:8" x14ac:dyDescent="0.25">
      <c r="B33" s="174" t="s">
        <v>35</v>
      </c>
      <c r="C33" s="212"/>
      <c r="D33" s="175"/>
      <c r="E33" s="88">
        <v>21045</v>
      </c>
      <c r="F33" s="40">
        <v>20130.07</v>
      </c>
      <c r="G33" s="88">
        <f>11499.28-1852.74</f>
        <v>9646.5400000000009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77171.94</v>
      </c>
      <c r="F35" s="40">
        <v>68272.929999999993</v>
      </c>
      <c r="G35" s="88">
        <f>28730.98-4786.48</f>
        <v>23944.5</v>
      </c>
      <c r="H35" s="5"/>
    </row>
    <row r="36" spans="2:8" x14ac:dyDescent="0.25">
      <c r="B36" s="174" t="s">
        <v>38</v>
      </c>
      <c r="C36" s="212"/>
      <c r="D36" s="175"/>
      <c r="E36" s="88">
        <f>58011.56</f>
        <v>58011.56</v>
      </c>
      <c r="F36" s="40">
        <f>48288.28+2633.5</f>
        <v>50921.78</v>
      </c>
      <c r="G36" s="88">
        <f>12223.5+3307.05+5608.78-4017.38</f>
        <v>17121.949999999997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52536.76</v>
      </c>
      <c r="F37" s="40">
        <f>44376.23+2454.27</f>
        <v>46830.5</v>
      </c>
      <c r="G37" s="88">
        <f>15083.5+4936.02-3232.73</f>
        <v>16786.79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287345.27999999997</v>
      </c>
      <c r="F38" s="41">
        <f>SUM(F31:F37)</f>
        <v>258367.35</v>
      </c>
      <c r="G38" s="41">
        <f>SUM(G31:G37)</f>
        <v>94391.88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99625.01999999999</v>
      </c>
      <c r="G44" s="112"/>
      <c r="H44" s="123">
        <f>H45+H46+H47</f>
        <v>98183.26999999999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26137.32</v>
      </c>
      <c r="G45" s="112"/>
      <c r="H45" s="105">
        <f>21635.7-3063.24</f>
        <v>18572.46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52442.7</v>
      </c>
      <c r="G46" s="112"/>
      <c r="H46" s="105">
        <f>58602.2-4122.99</f>
        <v>54479.21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21045</v>
      </c>
      <c r="G47" s="112"/>
      <c r="H47" s="105">
        <f>27609.3-2477.7</f>
        <v>25131.599999999999</v>
      </c>
    </row>
    <row r="48" spans="2:8" hidden="1" x14ac:dyDescent="0.25">
      <c r="B48" s="174" t="s">
        <v>36</v>
      </c>
      <c r="C48" s="175"/>
      <c r="D48" s="88"/>
      <c r="E48" s="10"/>
      <c r="F48" s="14"/>
      <c r="G48" s="10"/>
      <c r="H48" s="14"/>
    </row>
    <row r="49" spans="2:8" x14ac:dyDescent="0.25">
      <c r="B49" s="202" t="s">
        <v>65</v>
      </c>
      <c r="C49" s="203"/>
      <c r="D49" s="88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48" t="s">
        <v>266</v>
      </c>
      <c r="E50" s="148"/>
      <c r="F50" s="10"/>
      <c r="G50" s="148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268</v>
      </c>
      <c r="F51" s="151">
        <f>10236.71</f>
        <v>10236.709999999999</v>
      </c>
      <c r="G51" s="150" t="s">
        <v>268</v>
      </c>
      <c r="H51" s="151">
        <f>10236.71</f>
        <v>10236.709999999999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841</v>
      </c>
      <c r="G52" s="148" t="s">
        <v>267</v>
      </c>
      <c r="H52" s="152">
        <v>2818.12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385+3912.02</f>
        <v>4297.0200000000004</v>
      </c>
      <c r="G53" s="148" t="s">
        <v>267</v>
      </c>
      <c r="H53" s="152">
        <f>971.05+3762.05</f>
        <v>4733.1000000000004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x14ac:dyDescent="0.25">
      <c r="B55" s="239" t="s">
        <v>274</v>
      </c>
      <c r="C55" s="240"/>
      <c r="D55" s="108" t="s">
        <v>272</v>
      </c>
      <c r="E55" s="155" t="s">
        <v>275</v>
      </c>
      <c r="F55" s="156">
        <v>138571.69</v>
      </c>
      <c r="G55" s="155" t="s">
        <v>275</v>
      </c>
      <c r="H55" s="156">
        <v>138571.69</v>
      </c>
    </row>
    <row r="56" spans="2:8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x14ac:dyDescent="0.25">
      <c r="B60" s="208" t="s">
        <v>69</v>
      </c>
      <c r="C60" s="209"/>
      <c r="D60" s="108" t="s">
        <v>272</v>
      </c>
      <c r="E60" s="161"/>
      <c r="F60" s="152"/>
      <c r="G60" s="161"/>
      <c r="H60" s="152"/>
    </row>
    <row r="61" spans="2:8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x14ac:dyDescent="0.25">
      <c r="B64" s="208" t="s">
        <v>283</v>
      </c>
      <c r="C64" s="209"/>
      <c r="D64" s="150"/>
      <c r="E64" s="150"/>
      <c r="F64" s="151"/>
      <c r="G64" s="150"/>
      <c r="H64" s="151">
        <v>435.38</v>
      </c>
    </row>
    <row r="65" spans="2:8" ht="30" customHeight="1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8" ht="30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8" ht="33.7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8" ht="33.7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8" ht="81.75" customHeight="1" x14ac:dyDescent="0.25">
      <c r="B69" s="208" t="s">
        <v>54</v>
      </c>
      <c r="C69" s="209"/>
      <c r="D69" s="150" t="s">
        <v>266</v>
      </c>
      <c r="E69" s="150" t="s">
        <v>271</v>
      </c>
      <c r="F69" s="151">
        <v>7653.96</v>
      </c>
      <c r="G69" s="150" t="s">
        <v>271</v>
      </c>
      <c r="H69" s="151">
        <v>7373.24</v>
      </c>
    </row>
    <row r="70" spans="2:8" ht="20.25" customHeight="1" x14ac:dyDescent="0.25">
      <c r="B70" s="208" t="s">
        <v>55</v>
      </c>
      <c r="C70" s="209"/>
      <c r="D70" s="108" t="s">
        <v>266</v>
      </c>
      <c r="E70" s="108" t="s">
        <v>287</v>
      </c>
      <c r="F70" s="152">
        <v>7084</v>
      </c>
      <c r="G70" s="108" t="s">
        <v>288</v>
      </c>
      <c r="H70" s="152">
        <v>19122.39</v>
      </c>
    </row>
    <row r="71" spans="2:8" ht="21" customHeight="1" x14ac:dyDescent="0.25">
      <c r="B71" s="208" t="s">
        <v>56</v>
      </c>
      <c r="C71" s="209"/>
      <c r="D71" s="108" t="s">
        <v>266</v>
      </c>
      <c r="E71" s="108" t="s">
        <v>271</v>
      </c>
      <c r="F71" s="152">
        <v>16724.759999999998</v>
      </c>
      <c r="G71" s="108" t="s">
        <v>271</v>
      </c>
      <c r="H71" s="152">
        <v>16724.759999999998</v>
      </c>
    </row>
    <row r="72" spans="2:8" ht="18.75" customHeight="1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</row>
    <row r="73" spans="2:8" ht="18.75" customHeight="1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8" ht="19.5" customHeight="1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8" ht="19.5" customHeight="1" x14ac:dyDescent="0.25">
      <c r="B75" s="208" t="s">
        <v>289</v>
      </c>
      <c r="C75" s="209"/>
      <c r="D75" s="108"/>
      <c r="E75" s="108"/>
      <c r="F75" s="161">
        <v>53457.77</v>
      </c>
      <c r="G75" s="108"/>
      <c r="H75" s="161">
        <v>53457.77</v>
      </c>
    </row>
    <row r="76" spans="2:8" ht="18" customHeight="1" x14ac:dyDescent="0.25">
      <c r="B76" s="243" t="s">
        <v>59</v>
      </c>
      <c r="C76" s="244"/>
      <c r="D76" s="108"/>
      <c r="E76" s="108"/>
      <c r="F76" s="162"/>
      <c r="G76" s="108"/>
      <c r="H76" s="162"/>
    </row>
    <row r="77" spans="2:8" ht="33.75" customHeight="1" x14ac:dyDescent="0.25">
      <c r="B77" s="208" t="s">
        <v>60</v>
      </c>
      <c r="C77" s="209"/>
      <c r="D77" s="108" t="s">
        <v>272</v>
      </c>
      <c r="E77" s="108"/>
      <c r="F77" s="154"/>
      <c r="G77" s="108" t="s">
        <v>271</v>
      </c>
      <c r="H77" s="154"/>
    </row>
    <row r="78" spans="2:8" ht="33.75" customHeight="1" x14ac:dyDescent="0.25">
      <c r="B78" s="208" t="s">
        <v>61</v>
      </c>
      <c r="C78" s="209"/>
      <c r="D78" s="108" t="s">
        <v>270</v>
      </c>
      <c r="E78" s="108"/>
      <c r="F78" s="154"/>
      <c r="G78" s="108" t="s">
        <v>271</v>
      </c>
      <c r="H78" s="154"/>
    </row>
    <row r="79" spans="2:8" ht="71.25" customHeight="1" x14ac:dyDescent="0.25">
      <c r="B79" s="208" t="s">
        <v>62</v>
      </c>
      <c r="C79" s="209"/>
      <c r="D79" s="150" t="s">
        <v>266</v>
      </c>
      <c r="E79" s="150" t="s">
        <v>271</v>
      </c>
      <c r="F79" s="151">
        <f>8195.15+5782.99+4020.26</f>
        <v>17998.400000000001</v>
      </c>
      <c r="G79" s="150" t="s">
        <v>271</v>
      </c>
      <c r="H79" s="151">
        <f>8272.46+5790.72+4053.51</f>
        <v>18116.690000000002</v>
      </c>
    </row>
    <row r="80" spans="2:8" ht="18.75" customHeight="1" x14ac:dyDescent="0.25">
      <c r="B80" s="208" t="s">
        <v>290</v>
      </c>
      <c r="C80" s="209"/>
      <c r="D80" s="108" t="s">
        <v>291</v>
      </c>
      <c r="E80" s="161" t="s">
        <v>292</v>
      </c>
      <c r="F80" s="152">
        <f>2772+7607.57</f>
        <v>10379.57</v>
      </c>
      <c r="G80" s="108" t="s">
        <v>293</v>
      </c>
      <c r="H80" s="152">
        <f>789.3+11755.21+829.53</f>
        <v>13374.039999999999</v>
      </c>
    </row>
    <row r="81" spans="2:11" ht="15.75" customHeight="1" x14ac:dyDescent="0.25">
      <c r="B81" s="208" t="s">
        <v>282</v>
      </c>
      <c r="C81" s="209"/>
      <c r="D81" s="108"/>
      <c r="E81" s="108"/>
      <c r="F81" s="154"/>
      <c r="G81" s="108"/>
      <c r="H81" s="152"/>
    </row>
    <row r="82" spans="2:11" ht="15.75" customHeight="1" x14ac:dyDescent="0.25">
      <c r="B82" s="243" t="s">
        <v>63</v>
      </c>
      <c r="C82" s="244"/>
      <c r="D82" s="153"/>
      <c r="E82" s="108" t="s">
        <v>271</v>
      </c>
      <c r="F82" s="152">
        <v>15134.98</v>
      </c>
      <c r="G82" s="108" t="s">
        <v>271</v>
      </c>
      <c r="H82" s="152">
        <v>15134.98</v>
      </c>
    </row>
    <row r="83" spans="2:11" ht="16.5" customHeight="1" x14ac:dyDescent="0.25">
      <c r="B83" s="243" t="s">
        <v>64</v>
      </c>
      <c r="C83" s="244"/>
      <c r="D83" s="108"/>
      <c r="E83" s="108" t="s">
        <v>271</v>
      </c>
      <c r="F83" s="152">
        <v>12833.91</v>
      </c>
      <c r="G83" s="108" t="s">
        <v>271</v>
      </c>
      <c r="H83" s="152">
        <v>12549.89</v>
      </c>
    </row>
    <row r="84" spans="2:11" ht="19.5" customHeight="1" x14ac:dyDescent="0.25">
      <c r="B84" s="243" t="s">
        <v>294</v>
      </c>
      <c r="C84" s="244"/>
      <c r="D84" s="108"/>
      <c r="E84" s="108"/>
      <c r="F84" s="162"/>
      <c r="G84" s="163"/>
      <c r="H84" s="162"/>
    </row>
    <row r="85" spans="2:11" ht="18" customHeight="1" x14ac:dyDescent="0.25">
      <c r="B85" s="208" t="s">
        <v>295</v>
      </c>
      <c r="C85" s="209"/>
      <c r="D85" s="153" t="s">
        <v>296</v>
      </c>
      <c r="E85" s="108"/>
      <c r="F85" s="152"/>
      <c r="G85" s="108"/>
      <c r="H85" s="152"/>
    </row>
    <row r="86" spans="2:11" ht="18.75" customHeight="1" x14ac:dyDescent="0.25">
      <c r="B86" s="208" t="s">
        <v>71</v>
      </c>
      <c r="C86" s="209"/>
      <c r="D86" s="153" t="s">
        <v>297</v>
      </c>
      <c r="E86" s="108" t="s">
        <v>298</v>
      </c>
      <c r="F86" s="152">
        <v>2800</v>
      </c>
      <c r="G86" s="108" t="s">
        <v>298</v>
      </c>
      <c r="H86" s="152">
        <v>2683.62</v>
      </c>
    </row>
    <row r="87" spans="2:11" ht="21" customHeight="1" x14ac:dyDescent="0.25">
      <c r="B87" s="208" t="s">
        <v>72</v>
      </c>
      <c r="C87" s="209"/>
      <c r="D87" s="108" t="s">
        <v>299</v>
      </c>
      <c r="E87" s="108" t="s">
        <v>300</v>
      </c>
      <c r="F87" s="152">
        <v>1817.17</v>
      </c>
      <c r="G87" s="108" t="s">
        <v>300</v>
      </c>
      <c r="H87" s="152">
        <v>1817.17</v>
      </c>
    </row>
    <row r="88" spans="2:11" x14ac:dyDescent="0.25">
      <c r="B88" s="208" t="s">
        <v>301</v>
      </c>
      <c r="C88" s="209"/>
      <c r="D88" s="108" t="s">
        <v>291</v>
      </c>
      <c r="E88" s="108" t="s">
        <v>271</v>
      </c>
      <c r="F88" s="152">
        <v>14295.12</v>
      </c>
      <c r="G88" s="108" t="s">
        <v>271</v>
      </c>
      <c r="H88" s="161">
        <v>14295.12</v>
      </c>
    </row>
    <row r="89" spans="2:11" x14ac:dyDescent="0.25">
      <c r="B89" s="208" t="s">
        <v>282</v>
      </c>
      <c r="C89" s="209"/>
      <c r="D89" s="108"/>
      <c r="E89" s="108"/>
      <c r="F89" s="154"/>
      <c r="G89" s="108"/>
      <c r="H89" s="154"/>
    </row>
    <row r="90" spans="2:11" x14ac:dyDescent="0.25">
      <c r="B90" s="208" t="s">
        <v>302</v>
      </c>
      <c r="C90" s="209"/>
      <c r="D90" s="108" t="s">
        <v>291</v>
      </c>
      <c r="E90" s="108" t="s">
        <v>303</v>
      </c>
      <c r="F90" s="152">
        <v>6339.64</v>
      </c>
      <c r="G90" s="108" t="s">
        <v>303</v>
      </c>
      <c r="H90" s="152">
        <v>5215.26</v>
      </c>
    </row>
    <row r="91" spans="2:11" ht="37.5" customHeight="1" x14ac:dyDescent="0.25">
      <c r="B91" s="208" t="s">
        <v>320</v>
      </c>
      <c r="C91" s="209"/>
      <c r="D91" s="108"/>
      <c r="E91" s="108"/>
      <c r="F91" s="152">
        <v>24152.78</v>
      </c>
      <c r="G91" s="108"/>
      <c r="H91" s="152">
        <v>24152.78</v>
      </c>
      <c r="K91" s="5"/>
    </row>
    <row r="92" spans="2:11" x14ac:dyDescent="0.25">
      <c r="B92" s="206" t="s">
        <v>73</v>
      </c>
      <c r="C92" s="207"/>
      <c r="D92" s="108"/>
      <c r="E92" s="108"/>
      <c r="F92" s="165">
        <v>428100</v>
      </c>
      <c r="G92" s="165"/>
      <c r="H92" s="165">
        <f>458844.3-42914</f>
        <v>415930.3</v>
      </c>
    </row>
    <row r="93" spans="2:11" x14ac:dyDescent="0.25">
      <c r="B93" s="9"/>
      <c r="C93" s="9"/>
      <c r="D93" s="5"/>
      <c r="E93" s="5"/>
      <c r="F93" s="15"/>
      <c r="G93" s="5"/>
      <c r="H93" s="15"/>
    </row>
    <row r="94" spans="2:11" x14ac:dyDescent="0.25">
      <c r="B94" s="201" t="s">
        <v>177</v>
      </c>
      <c r="C94" s="201"/>
      <c r="D94" s="201"/>
      <c r="E94" s="201"/>
      <c r="F94" s="201"/>
      <c r="G94" s="201"/>
    </row>
    <row r="95" spans="2:11" ht="63" customHeight="1" x14ac:dyDescent="0.25">
      <c r="B95" s="194" t="s">
        <v>29</v>
      </c>
      <c r="C95" s="194"/>
      <c r="D95" s="91" t="s">
        <v>30</v>
      </c>
      <c r="E95" s="91" t="s">
        <v>31</v>
      </c>
      <c r="F95" s="89" t="s">
        <v>82</v>
      </c>
      <c r="G95" s="89" t="s">
        <v>32</v>
      </c>
    </row>
    <row r="96" spans="2:11" x14ac:dyDescent="0.25">
      <c r="B96" s="181" t="s">
        <v>83</v>
      </c>
      <c r="C96" s="183"/>
      <c r="D96" s="88">
        <v>37735.96</v>
      </c>
      <c r="E96" s="88">
        <v>25618.45</v>
      </c>
      <c r="F96" s="88">
        <f>E96</f>
        <v>25618.45</v>
      </c>
      <c r="G96" s="85">
        <f>23054.78-4033.13</f>
        <v>19021.649999999998</v>
      </c>
    </row>
    <row r="97" spans="2:8" x14ac:dyDescent="0.25">
      <c r="B97" s="181" t="s">
        <v>84</v>
      </c>
      <c r="C97" s="183"/>
      <c r="D97" s="88">
        <f>8570.79-107.09+2321.33-30.22+2650.07-29.76+4418.07</f>
        <v>17793.190000000002</v>
      </c>
      <c r="E97" s="88">
        <f>13026.2+2773.13+2685.12+4361.88</f>
        <v>22846.33</v>
      </c>
      <c r="F97" s="88">
        <f t="shared" ref="F97:F104" si="0">E97</f>
        <v>22846.33</v>
      </c>
      <c r="G97" s="85">
        <f>14734.58+4091.37+3036.48-2146.2-16.18-581.28-4.38-663.6-5+2106.33</f>
        <v>20552.120000000003</v>
      </c>
    </row>
    <row r="98" spans="2:8" ht="30" customHeight="1" x14ac:dyDescent="0.25">
      <c r="B98" s="174" t="s">
        <v>85</v>
      </c>
      <c r="C98" s="175"/>
      <c r="D98" s="88">
        <f>9432.18-3782.7</f>
        <v>5649.4800000000005</v>
      </c>
      <c r="E98" s="88">
        <v>5670.4</v>
      </c>
      <c r="F98" s="88">
        <f t="shared" si="0"/>
        <v>5670.4</v>
      </c>
      <c r="G98" s="85">
        <f>8607.59-1412.37</f>
        <v>7195.22</v>
      </c>
    </row>
    <row r="99" spans="2:8" ht="30" customHeight="1" x14ac:dyDescent="0.25">
      <c r="B99" s="174" t="s">
        <v>86</v>
      </c>
      <c r="C99" s="175"/>
      <c r="D99" s="88">
        <f>2410.7-966.7</f>
        <v>1443.9999999999998</v>
      </c>
      <c r="E99" s="88">
        <v>1372.07</v>
      </c>
      <c r="F99" s="88">
        <f t="shared" si="0"/>
        <v>1372.07</v>
      </c>
      <c r="G99" s="85">
        <f>2069.3-361</f>
        <v>1708.3000000000002</v>
      </c>
    </row>
    <row r="100" spans="2:8" x14ac:dyDescent="0.25">
      <c r="B100" s="174" t="s">
        <v>87</v>
      </c>
      <c r="C100" s="175"/>
      <c r="D100" s="88">
        <f>34899.32-13996</f>
        <v>20903.32</v>
      </c>
      <c r="E100" s="88">
        <f>13905.24+23010.79</f>
        <v>36916.03</v>
      </c>
      <c r="F100" s="88">
        <f t="shared" si="0"/>
        <v>36916.03</v>
      </c>
      <c r="G100" s="85">
        <f>22410.59+21798.13-5225.83</f>
        <v>38982.89</v>
      </c>
    </row>
    <row r="101" spans="2:8" x14ac:dyDescent="0.25">
      <c r="B101" s="174" t="s">
        <v>88</v>
      </c>
      <c r="C101" s="175"/>
      <c r="D101" s="88">
        <f>1676.72-672.48</f>
        <v>1004.24</v>
      </c>
      <c r="E101" s="88">
        <v>1064.05</v>
      </c>
      <c r="F101" s="88">
        <f t="shared" si="0"/>
        <v>1064.05</v>
      </c>
      <c r="G101" s="85">
        <f>1553.7-251.06</f>
        <v>1302.6400000000001</v>
      </c>
    </row>
    <row r="102" spans="2:8" x14ac:dyDescent="0.25">
      <c r="B102" s="174" t="s">
        <v>150</v>
      </c>
      <c r="C102" s="175"/>
      <c r="D102" s="88">
        <v>3080</v>
      </c>
      <c r="E102" s="88">
        <f>2812.98+6.29</f>
        <v>2819.27</v>
      </c>
      <c r="F102" s="88">
        <f t="shared" si="0"/>
        <v>2819.27</v>
      </c>
      <c r="G102" s="85">
        <f>5997.05+43.66-770</f>
        <v>5270.71</v>
      </c>
    </row>
    <row r="103" spans="2:8" x14ac:dyDescent="0.25">
      <c r="B103" s="174" t="s">
        <v>89</v>
      </c>
      <c r="C103" s="175"/>
      <c r="D103" s="88"/>
      <c r="E103" s="88"/>
      <c r="F103" s="88"/>
      <c r="G103" s="85"/>
    </row>
    <row r="104" spans="2:8" ht="30" x14ac:dyDescent="0.25">
      <c r="B104" s="86" t="s">
        <v>81</v>
      </c>
      <c r="C104" s="87"/>
      <c r="D104" s="88">
        <f>10480.2-4203</f>
        <v>6277.2000000000007</v>
      </c>
      <c r="E104" s="88">
        <f>6922.43+897.88+1114.99+59.79+648.35</f>
        <v>9643.4400000000023</v>
      </c>
      <c r="F104" s="88">
        <f t="shared" si="0"/>
        <v>9643.4400000000023</v>
      </c>
      <c r="G104" s="85">
        <f>10145.18+1185.94+170.87+2050.38-1569.3</f>
        <v>11983.070000000003</v>
      </c>
    </row>
    <row r="105" spans="2:8" ht="18.75" customHeight="1" x14ac:dyDescent="0.25">
      <c r="B105" s="202" t="s">
        <v>90</v>
      </c>
      <c r="C105" s="203"/>
      <c r="D105" s="90">
        <f>SUM(D96:D104)</f>
        <v>93887.390000000014</v>
      </c>
      <c r="E105" s="90">
        <f>SUM(E96:E104)</f>
        <v>105950.04000000001</v>
      </c>
      <c r="F105" s="88">
        <f>E105</f>
        <v>105950.04000000001</v>
      </c>
      <c r="G105" s="90">
        <f>SUM(G96:G104)</f>
        <v>106016.60000000002</v>
      </c>
    </row>
    <row r="106" spans="2:8" x14ac:dyDescent="0.25">
      <c r="B106" s="202" t="s">
        <v>91</v>
      </c>
      <c r="C106" s="203"/>
      <c r="D106" s="96">
        <f>D105+F117+E38+C140</f>
        <v>718545.05700000003</v>
      </c>
      <c r="E106" s="96">
        <f>E105+G117+F38+D140</f>
        <v>725084.28999999992</v>
      </c>
      <c r="F106" s="96">
        <f>E106</f>
        <v>725084.28999999992</v>
      </c>
      <c r="G106" s="96">
        <f>G38+G105+H117+F140</f>
        <v>625611.01</v>
      </c>
    </row>
    <row r="107" spans="2:8" x14ac:dyDescent="0.25">
      <c r="B107" s="16"/>
      <c r="C107" s="16"/>
      <c r="D107" s="16"/>
      <c r="E107" s="17"/>
      <c r="F107" s="17"/>
      <c r="G107" s="17"/>
      <c r="H107" s="17"/>
    </row>
    <row r="108" spans="2:8" x14ac:dyDescent="0.25">
      <c r="B108" s="204" t="s">
        <v>176</v>
      </c>
      <c r="C108" s="201"/>
      <c r="D108" s="201"/>
      <c r="E108" s="201"/>
      <c r="F108" s="201"/>
    </row>
    <row r="109" spans="2:8" ht="38.25" customHeight="1" x14ac:dyDescent="0.25">
      <c r="B109" s="194" t="s">
        <v>29</v>
      </c>
      <c r="C109" s="194" t="s">
        <v>93</v>
      </c>
      <c r="D109" s="194"/>
      <c r="E109" s="205" t="s">
        <v>94</v>
      </c>
      <c r="F109" s="194" t="s">
        <v>30</v>
      </c>
      <c r="G109" s="194" t="s">
        <v>31</v>
      </c>
      <c r="H109" s="195" t="s">
        <v>95</v>
      </c>
    </row>
    <row r="110" spans="2:8" ht="35.25" customHeight="1" x14ac:dyDescent="0.25">
      <c r="B110" s="194"/>
      <c r="C110" s="91" t="s">
        <v>96</v>
      </c>
      <c r="D110" s="19" t="s">
        <v>97</v>
      </c>
      <c r="E110" s="205"/>
      <c r="F110" s="194"/>
      <c r="G110" s="194"/>
      <c r="H110" s="195"/>
    </row>
    <row r="111" spans="2:8" x14ac:dyDescent="0.25">
      <c r="B111" s="10" t="s">
        <v>98</v>
      </c>
      <c r="C111" s="88">
        <v>1400.08</v>
      </c>
      <c r="D111" s="42">
        <v>1439.26</v>
      </c>
      <c r="E111" s="110">
        <v>105.79</v>
      </c>
      <c r="F111" s="88">
        <f>-916.41+152238.62-42901.093</f>
        <v>108421.117</v>
      </c>
      <c r="G111" s="88">
        <f>4366.87+62320.1</f>
        <v>66686.97</v>
      </c>
      <c r="H111" s="88">
        <f>3374.81+121081.58-44889.91</f>
        <v>79566.48</v>
      </c>
    </row>
    <row r="112" spans="2:8" x14ac:dyDescent="0.25">
      <c r="B112" s="10" t="s">
        <v>147</v>
      </c>
      <c r="C112" s="88">
        <v>22.15</v>
      </c>
      <c r="D112" s="42">
        <v>26.44</v>
      </c>
      <c r="E112" s="110">
        <v>445.45</v>
      </c>
      <c r="F112" s="88">
        <f>55941.92-14199.54+239.08+1340.15+49.11+275.07+11751.46-2741.18</f>
        <v>52656.07</v>
      </c>
      <c r="G112" s="88">
        <f>60152.68-2250.25+61.24+6997.88</f>
        <v>64961.549999999996</v>
      </c>
      <c r="H112" s="88">
        <f>111379+9654.16+2027.9+15244.08-14248.84+14404.32-911.2-187.03-3136.68+2796.43</f>
        <v>137022.13999999998</v>
      </c>
    </row>
    <row r="113" spans="2:8" x14ac:dyDescent="0.25">
      <c r="B113" s="10" t="s">
        <v>99</v>
      </c>
      <c r="C113" s="88">
        <v>18.43</v>
      </c>
      <c r="D113" s="42">
        <v>19.22</v>
      </c>
      <c r="E113" s="110">
        <v>2088</v>
      </c>
      <c r="F113" s="88">
        <f>6869.77-6552.82+15853.03-3655.85+24536.25</f>
        <v>37050.380000000005</v>
      </c>
      <c r="G113" s="88">
        <f>2275.28+806.32+21597.41+5944.31+26001.76</f>
        <v>56625.08</v>
      </c>
      <c r="H113" s="88">
        <f>988.22+37422.62+2253.97-79.13-3526.9+3959.45</f>
        <v>41018.230000000003</v>
      </c>
    </row>
    <row r="114" spans="2:8" x14ac:dyDescent="0.25">
      <c r="B114" s="10" t="s">
        <v>100</v>
      </c>
      <c r="C114" s="88">
        <v>12.31</v>
      </c>
      <c r="D114" s="42">
        <v>12.84</v>
      </c>
      <c r="E114" s="110">
        <v>2500.4899999999998</v>
      </c>
      <c r="F114" s="88">
        <f>16297.45-3657.56-237.55+22972.94</f>
        <v>35375.279999999999</v>
      </c>
      <c r="G114" s="88">
        <f>20714.69+39.16+24001.62</f>
        <v>44755.47</v>
      </c>
      <c r="H114" s="88">
        <f>37882.33+1169.46-3879.37+4129.67</f>
        <v>39302.089999999997</v>
      </c>
    </row>
    <row r="115" spans="2:8" x14ac:dyDescent="0.25">
      <c r="B115" s="10" t="s">
        <v>101</v>
      </c>
      <c r="C115" s="88" t="s">
        <v>145</v>
      </c>
      <c r="D115" s="42" t="s">
        <v>146</v>
      </c>
      <c r="E115" s="110">
        <v>31043.33</v>
      </c>
      <c r="F115" s="88">
        <f>24618.27-356.91+46459.56+223.61</f>
        <v>70944.53</v>
      </c>
      <c r="G115" s="88">
        <f>30820.88+60204.27+719.88</f>
        <v>91745.03</v>
      </c>
      <c r="H115" s="88">
        <f>5443.69+94395.65-8342.55+1224.32-11724.36-1184.61</f>
        <v>79812.14</v>
      </c>
    </row>
    <row r="116" spans="2:8" x14ac:dyDescent="0.25">
      <c r="B116" s="10" t="s">
        <v>102</v>
      </c>
      <c r="C116" s="88">
        <v>2.2999999999999998</v>
      </c>
      <c r="D116" s="42">
        <v>2.39</v>
      </c>
      <c r="E116" s="110">
        <v>960.09</v>
      </c>
      <c r="F116" s="88">
        <f>2207.91+69.55</f>
        <v>2277.46</v>
      </c>
      <c r="G116" s="88">
        <f>5123.16</f>
        <v>5123.16</v>
      </c>
      <c r="H116" s="88">
        <f>9463.68-580.01-59.99</f>
        <v>8823.68</v>
      </c>
    </row>
    <row r="117" spans="2:8" x14ac:dyDescent="0.25">
      <c r="B117" s="11" t="s">
        <v>103</v>
      </c>
      <c r="C117" s="90"/>
      <c r="D117" s="42"/>
      <c r="E117" s="4"/>
      <c r="F117" s="90">
        <f>SUM(F111:F116)</f>
        <v>306724.837</v>
      </c>
      <c r="G117" s="90">
        <f>SUM(G111:G116)</f>
        <v>329897.25999999995</v>
      </c>
      <c r="H117" s="90">
        <f>SUM(H111:H116)</f>
        <v>385544.76</v>
      </c>
    </row>
    <row r="118" spans="2:8" x14ac:dyDescent="0.25">
      <c r="B118" s="9"/>
      <c r="C118" s="138"/>
      <c r="D118" s="144"/>
      <c r="E118" s="121"/>
      <c r="F118" s="138"/>
      <c r="G118" s="138"/>
      <c r="H118" s="138"/>
    </row>
    <row r="119" spans="2:8" x14ac:dyDescent="0.25">
      <c r="B119" s="16"/>
      <c r="C119" s="16" t="s">
        <v>244</v>
      </c>
      <c r="D119" s="16"/>
      <c r="E119" s="17"/>
      <c r="F119" s="17"/>
      <c r="G119" s="17"/>
      <c r="H119" s="138"/>
    </row>
    <row r="120" spans="2:8" x14ac:dyDescent="0.25">
      <c r="B120" s="137" t="s">
        <v>228</v>
      </c>
      <c r="C120" s="137" t="s">
        <v>229</v>
      </c>
      <c r="D120" s="137"/>
      <c r="E120" s="131" t="s">
        <v>230</v>
      </c>
      <c r="F120" s="17"/>
      <c r="G120" s="17"/>
      <c r="H120" s="138"/>
    </row>
    <row r="121" spans="2:8" x14ac:dyDescent="0.25">
      <c r="B121" s="133" t="s">
        <v>231</v>
      </c>
      <c r="C121" s="199">
        <v>2</v>
      </c>
      <c r="D121" s="200"/>
      <c r="E121" s="105">
        <v>100</v>
      </c>
      <c r="F121" s="17"/>
      <c r="G121" s="17"/>
      <c r="H121" s="138"/>
    </row>
    <row r="122" spans="2:8" x14ac:dyDescent="0.25">
      <c r="B122" s="133" t="s">
        <v>232</v>
      </c>
      <c r="C122" s="199"/>
      <c r="D122" s="200"/>
      <c r="E122" s="105"/>
      <c r="F122" s="17"/>
      <c r="G122" s="17"/>
      <c r="H122" s="138"/>
    </row>
    <row r="123" spans="2:8" x14ac:dyDescent="0.25">
      <c r="B123" s="133" t="s">
        <v>233</v>
      </c>
      <c r="C123" s="199"/>
      <c r="D123" s="200"/>
      <c r="E123" s="105"/>
      <c r="F123" s="17"/>
      <c r="G123" s="17"/>
      <c r="H123" s="138"/>
    </row>
    <row r="124" spans="2:8" x14ac:dyDescent="0.25">
      <c r="B124" s="133" t="s">
        <v>234</v>
      </c>
      <c r="C124" s="199"/>
      <c r="D124" s="200"/>
      <c r="E124" s="105"/>
      <c r="F124" s="17"/>
      <c r="G124" s="17"/>
      <c r="H124" s="138"/>
    </row>
    <row r="125" spans="2:8" x14ac:dyDescent="0.25">
      <c r="B125" s="133" t="s">
        <v>235</v>
      </c>
      <c r="C125" s="199">
        <v>2</v>
      </c>
      <c r="D125" s="200"/>
      <c r="E125" s="105">
        <v>100</v>
      </c>
      <c r="F125" s="17"/>
      <c r="G125" s="17"/>
      <c r="H125" s="138"/>
    </row>
    <row r="126" spans="2:8" x14ac:dyDescent="0.25">
      <c r="B126" s="133" t="s">
        <v>236</v>
      </c>
      <c r="C126" s="199"/>
      <c r="D126" s="200"/>
      <c r="E126" s="105"/>
      <c r="F126" s="17"/>
      <c r="G126" s="17"/>
      <c r="H126" s="138"/>
    </row>
    <row r="127" spans="2:8" x14ac:dyDescent="0.25">
      <c r="B127" s="133" t="s">
        <v>70</v>
      </c>
      <c r="C127" s="199">
        <v>8</v>
      </c>
      <c r="D127" s="200"/>
      <c r="E127" s="105">
        <v>100</v>
      </c>
      <c r="F127" s="17"/>
      <c r="G127" s="17"/>
      <c r="H127" s="138"/>
    </row>
    <row r="128" spans="2:8" x14ac:dyDescent="0.25">
      <c r="B128" s="133" t="s">
        <v>237</v>
      </c>
      <c r="C128" s="199"/>
      <c r="D128" s="200"/>
      <c r="E128" s="105"/>
      <c r="F128" s="17"/>
      <c r="G128" s="17"/>
      <c r="H128" s="138"/>
    </row>
    <row r="129" spans="2:8" x14ac:dyDescent="0.25">
      <c r="B129" s="133" t="s">
        <v>238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239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240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241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242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243</v>
      </c>
      <c r="C134" s="199"/>
      <c r="D134" s="200"/>
      <c r="E134" s="105"/>
      <c r="F134" s="17"/>
      <c r="G134" s="17"/>
      <c r="H134" s="17"/>
    </row>
    <row r="135" spans="2:8" x14ac:dyDescent="0.25">
      <c r="B135" s="139" t="s">
        <v>103</v>
      </c>
      <c r="C135" s="245">
        <f>SUM(C121:C134)</f>
        <v>12</v>
      </c>
      <c r="D135" s="246"/>
      <c r="E135" s="123">
        <v>100</v>
      </c>
      <c r="F135" s="9"/>
      <c r="G135" s="9"/>
      <c r="H135" s="17"/>
    </row>
    <row r="136" spans="2:8" x14ac:dyDescent="0.25">
      <c r="B136" s="12"/>
      <c r="C136" s="12"/>
      <c r="D136" s="9"/>
      <c r="E136" s="9"/>
      <c r="F136" s="9"/>
      <c r="G136" s="9"/>
    </row>
    <row r="137" spans="2:8" ht="44.25" customHeight="1" x14ac:dyDescent="0.25">
      <c r="B137" s="33"/>
      <c r="C137" s="90" t="s">
        <v>30</v>
      </c>
      <c r="D137" s="90" t="s">
        <v>31</v>
      </c>
      <c r="E137" s="89" t="s">
        <v>104</v>
      </c>
      <c r="F137" s="89" t="s">
        <v>32</v>
      </c>
    </row>
    <row r="138" spans="2:8" x14ac:dyDescent="0.25">
      <c r="B138" s="32" t="s">
        <v>105</v>
      </c>
      <c r="C138" s="88">
        <f>46621-21015</f>
        <v>25606</v>
      </c>
      <c r="D138" s="88">
        <f>20805.63+19.83+3.66+15.33</f>
        <v>20844.450000000004</v>
      </c>
      <c r="E138" s="88"/>
      <c r="F138" s="85">
        <f>30579.26+116.35+9.53+50.23-6454.5</f>
        <v>24300.869999999995</v>
      </c>
    </row>
    <row r="139" spans="2:8" x14ac:dyDescent="0.25">
      <c r="B139" s="32" t="s">
        <v>106</v>
      </c>
      <c r="C139" s="88">
        <v>4981.55</v>
      </c>
      <c r="D139" s="88">
        <f>1336.09+8689.1</f>
        <v>10025.19</v>
      </c>
      <c r="E139" s="88"/>
      <c r="F139" s="85">
        <f>873.87+15682.52-1199.49</f>
        <v>15356.9</v>
      </c>
    </row>
    <row r="140" spans="2:8" ht="28.5" x14ac:dyDescent="0.25">
      <c r="B140" s="33" t="s">
        <v>178</v>
      </c>
      <c r="C140" s="90">
        <f>SUM(C138:C139)</f>
        <v>30587.55</v>
      </c>
      <c r="D140" s="90">
        <f>SUM(D138:D139)</f>
        <v>30869.640000000007</v>
      </c>
      <c r="E140" s="90"/>
      <c r="F140" s="90">
        <f>SUM(F138:F139)</f>
        <v>39657.769999999997</v>
      </c>
    </row>
    <row r="142" spans="2:8" x14ac:dyDescent="0.25">
      <c r="B142" s="177" t="s">
        <v>108</v>
      </c>
      <c r="C142" s="178"/>
      <c r="D142" s="179"/>
      <c r="E142" s="196">
        <f>G106</f>
        <v>625611.01</v>
      </c>
      <c r="F142" s="197"/>
    </row>
    <row r="144" spans="2:8" x14ac:dyDescent="0.25">
      <c r="B144" s="198" t="s">
        <v>109</v>
      </c>
      <c r="C144" s="198"/>
      <c r="D144" s="198"/>
      <c r="E144" s="193"/>
      <c r="F144" s="193"/>
    </row>
    <row r="145" spans="2:8" x14ac:dyDescent="0.25">
      <c r="B145" s="192" t="s">
        <v>110</v>
      </c>
      <c r="C145" s="192"/>
      <c r="D145" s="192"/>
      <c r="E145" s="193"/>
      <c r="F145" s="193"/>
    </row>
    <row r="146" spans="2:8" x14ac:dyDescent="0.25">
      <c r="B146" s="192" t="s">
        <v>111</v>
      </c>
      <c r="C146" s="192"/>
      <c r="D146" s="192"/>
      <c r="E146" s="193"/>
      <c r="F146" s="193"/>
    </row>
    <row r="147" spans="2:8" x14ac:dyDescent="0.25">
      <c r="B147" s="192" t="s">
        <v>112</v>
      </c>
      <c r="C147" s="192"/>
      <c r="D147" s="192"/>
      <c r="E147" s="193"/>
      <c r="F147" s="193"/>
    </row>
    <row r="148" spans="2:8" x14ac:dyDescent="0.25">
      <c r="B148" s="192" t="s">
        <v>113</v>
      </c>
      <c r="C148" s="192"/>
      <c r="D148" s="192"/>
      <c r="E148" s="193"/>
      <c r="F148" s="193"/>
    </row>
    <row r="150" spans="2:8" x14ac:dyDescent="0.25">
      <c r="B150" s="177" t="s">
        <v>114</v>
      </c>
      <c r="C150" s="178"/>
      <c r="D150" s="179"/>
      <c r="E150" s="193"/>
      <c r="F150" s="193"/>
    </row>
    <row r="152" spans="2:8" hidden="1" x14ac:dyDescent="0.25">
      <c r="B152" s="181" t="s">
        <v>123</v>
      </c>
      <c r="C152" s="183"/>
      <c r="D152" s="88" t="s">
        <v>124</v>
      </c>
      <c r="E152" s="176" t="s">
        <v>122</v>
      </c>
      <c r="F152" s="176"/>
    </row>
    <row r="153" spans="2:8" hidden="1" x14ac:dyDescent="0.25">
      <c r="B153" s="181" t="s">
        <v>125</v>
      </c>
      <c r="C153" s="183"/>
      <c r="D153" s="88" t="s">
        <v>126</v>
      </c>
      <c r="E153" s="176" t="s">
        <v>122</v>
      </c>
      <c r="F153" s="176"/>
    </row>
    <row r="154" spans="2:8" ht="30" hidden="1" customHeight="1" x14ac:dyDescent="0.25">
      <c r="B154" s="174" t="s">
        <v>127</v>
      </c>
      <c r="C154" s="175"/>
      <c r="D154" s="88" t="s">
        <v>128</v>
      </c>
      <c r="E154" s="176" t="s">
        <v>122</v>
      </c>
      <c r="F154" s="176"/>
    </row>
    <row r="155" spans="2:8" ht="30" hidden="1" customHeight="1" x14ac:dyDescent="0.25">
      <c r="B155" s="174" t="s">
        <v>129</v>
      </c>
      <c r="C155" s="175"/>
      <c r="D155" s="88" t="s">
        <v>130</v>
      </c>
      <c r="E155" s="176"/>
      <c r="F155" s="176"/>
    </row>
    <row r="156" spans="2:8" ht="30" hidden="1" x14ac:dyDescent="0.25">
      <c r="B156" s="174" t="s">
        <v>131</v>
      </c>
      <c r="C156" s="175"/>
      <c r="D156" s="24" t="s">
        <v>132</v>
      </c>
      <c r="E156" s="176" t="s">
        <v>133</v>
      </c>
      <c r="F156" s="176"/>
    </row>
    <row r="157" spans="2:8" hidden="1" x14ac:dyDescent="0.25">
      <c r="B157" s="181" t="s">
        <v>134</v>
      </c>
      <c r="C157" s="183"/>
      <c r="D157" s="10" t="s">
        <v>135</v>
      </c>
      <c r="E157" s="176"/>
      <c r="F157" s="176"/>
    </row>
    <row r="158" spans="2:8" ht="30" hidden="1" customHeight="1" x14ac:dyDescent="0.25">
      <c r="B158" s="174" t="s">
        <v>136</v>
      </c>
      <c r="C158" s="175"/>
      <c r="D158" s="10" t="s">
        <v>137</v>
      </c>
      <c r="E158" s="176"/>
      <c r="F158" s="176"/>
    </row>
    <row r="159" spans="2:8" ht="30" hidden="1" customHeight="1" x14ac:dyDescent="0.25">
      <c r="B159" s="174" t="s">
        <v>138</v>
      </c>
      <c r="C159" s="175"/>
      <c r="D159" s="88" t="s">
        <v>139</v>
      </c>
      <c r="E159" s="176"/>
      <c r="F159" s="176"/>
    </row>
    <row r="160" spans="2:8" x14ac:dyDescent="0.25">
      <c r="B160" s="177" t="s">
        <v>74</v>
      </c>
      <c r="C160" s="178"/>
      <c r="D160" s="179"/>
      <c r="E160" s="180">
        <v>1520</v>
      </c>
      <c r="F160" s="180"/>
      <c r="G160" s="25"/>
      <c r="H160" s="25"/>
    </row>
    <row r="161" spans="2:8" x14ac:dyDescent="0.25">
      <c r="B161" s="181" t="s">
        <v>75</v>
      </c>
      <c r="C161" s="182"/>
      <c r="D161" s="183"/>
      <c r="E161" s="176"/>
      <c r="F161" s="176"/>
      <c r="G161" s="26"/>
      <c r="H161" s="26"/>
    </row>
    <row r="162" spans="2:8" x14ac:dyDescent="0.25">
      <c r="B162" s="181" t="s">
        <v>76</v>
      </c>
      <c r="C162" s="182"/>
      <c r="D162" s="183"/>
      <c r="E162" s="184">
        <v>320</v>
      </c>
      <c r="F162" s="184"/>
      <c r="G162" s="27"/>
      <c r="H162" s="27"/>
    </row>
    <row r="163" spans="2:8" x14ac:dyDescent="0.25">
      <c r="B163" s="181" t="s">
        <v>77</v>
      </c>
      <c r="C163" s="182"/>
      <c r="D163" s="183"/>
      <c r="E163" s="184"/>
      <c r="F163" s="184"/>
      <c r="G163" s="27"/>
      <c r="H163" s="27"/>
    </row>
    <row r="164" spans="2:8" x14ac:dyDescent="0.25">
      <c r="B164" s="177" t="s">
        <v>78</v>
      </c>
      <c r="C164" s="178"/>
      <c r="D164" s="179"/>
      <c r="E164" s="180"/>
      <c r="F164" s="180"/>
      <c r="G164" s="25"/>
      <c r="H164" s="25"/>
    </row>
    <row r="165" spans="2:8" x14ac:dyDescent="0.25">
      <c r="B165" s="181" t="s">
        <v>79</v>
      </c>
      <c r="C165" s="182"/>
      <c r="D165" s="183"/>
      <c r="E165" s="184"/>
      <c r="F165" s="184"/>
      <c r="G165" s="27"/>
      <c r="H165" s="27"/>
    </row>
    <row r="166" spans="2:8" x14ac:dyDescent="0.25">
      <c r="B166" s="177" t="s">
        <v>80</v>
      </c>
      <c r="C166" s="178"/>
      <c r="D166" s="179"/>
      <c r="E166" s="184"/>
      <c r="F166" s="184"/>
      <c r="G166" s="27"/>
      <c r="H166" s="27"/>
    </row>
    <row r="167" spans="2:8" x14ac:dyDescent="0.25">
      <c r="B167" s="16"/>
      <c r="C167" s="16"/>
      <c r="D167" s="16"/>
      <c r="E167" s="17"/>
      <c r="F167" s="17"/>
      <c r="G167" s="17"/>
      <c r="H167" s="17"/>
    </row>
    <row r="168" spans="2:8" ht="36" customHeight="1" x14ac:dyDescent="0.25">
      <c r="B168" s="185" t="s">
        <v>115</v>
      </c>
      <c r="C168" s="186"/>
      <c r="D168" s="186"/>
      <c r="E168" s="186"/>
      <c r="F168" s="21" t="s">
        <v>116</v>
      </c>
    </row>
    <row r="169" spans="2:8" ht="14.45" customHeight="1" x14ac:dyDescent="0.25">
      <c r="B169" s="187" t="s">
        <v>117</v>
      </c>
      <c r="C169" s="188" t="s">
        <v>118</v>
      </c>
      <c r="D169" s="190" t="s">
        <v>119</v>
      </c>
      <c r="E169" s="191"/>
      <c r="F169" s="4"/>
    </row>
    <row r="170" spans="2:8" x14ac:dyDescent="0.25">
      <c r="B170" s="187"/>
      <c r="C170" s="189"/>
      <c r="D170" s="83" t="s">
        <v>120</v>
      </c>
      <c r="E170" s="83" t="s">
        <v>121</v>
      </c>
      <c r="F170" s="4"/>
    </row>
    <row r="171" spans="2:8" x14ac:dyDescent="0.25">
      <c r="B171" s="115"/>
      <c r="C171" s="124"/>
      <c r="D171" s="115"/>
      <c r="E171" s="115"/>
      <c r="F171" s="4"/>
    </row>
    <row r="172" spans="2:8" x14ac:dyDescent="0.25">
      <c r="B172" s="115"/>
      <c r="C172" s="115"/>
      <c r="D172" s="115"/>
      <c r="E172" s="115"/>
      <c r="F172" s="4"/>
    </row>
    <row r="173" spans="2:8" x14ac:dyDescent="0.25">
      <c r="B173" s="126"/>
      <c r="C173" s="126"/>
      <c r="D173" s="126"/>
      <c r="E173" s="126"/>
      <c r="F173" s="121"/>
    </row>
    <row r="174" spans="2:8" x14ac:dyDescent="0.25">
      <c r="B174" s="120" t="s">
        <v>247</v>
      </c>
      <c r="C174" s="120"/>
      <c r="D174" s="121" t="s">
        <v>248</v>
      </c>
      <c r="E174" s="121"/>
      <c r="F174" s="121"/>
    </row>
    <row r="175" spans="2:8" x14ac:dyDescent="0.25">
      <c r="B175" s="120"/>
      <c r="C175" s="120"/>
      <c r="D175" s="121"/>
      <c r="E175" s="121"/>
      <c r="F175" s="121"/>
    </row>
  </sheetData>
  <mergeCells count="182">
    <mergeCell ref="B165:D165"/>
    <mergeCell ref="E165:F165"/>
    <mergeCell ref="B166:D166"/>
    <mergeCell ref="E166:F166"/>
    <mergeCell ref="B168:E168"/>
    <mergeCell ref="B169:B170"/>
    <mergeCell ref="C169:C170"/>
    <mergeCell ref="D169:E169"/>
    <mergeCell ref="B162:D162"/>
    <mergeCell ref="E162:F162"/>
    <mergeCell ref="B163:D163"/>
    <mergeCell ref="E163:F163"/>
    <mergeCell ref="B164:D164"/>
    <mergeCell ref="E164:F164"/>
    <mergeCell ref="B159:C159"/>
    <mergeCell ref="E159:F159"/>
    <mergeCell ref="B160:D160"/>
    <mergeCell ref="E160:F160"/>
    <mergeCell ref="B161:D161"/>
    <mergeCell ref="E161:F161"/>
    <mergeCell ref="B156:C156"/>
    <mergeCell ref="E156:F156"/>
    <mergeCell ref="B157:C157"/>
    <mergeCell ref="E157:F157"/>
    <mergeCell ref="B158:C158"/>
    <mergeCell ref="E158:F158"/>
    <mergeCell ref="B153:C153"/>
    <mergeCell ref="E153:F153"/>
    <mergeCell ref="B154:C154"/>
    <mergeCell ref="E154:F154"/>
    <mergeCell ref="B155:C155"/>
    <mergeCell ref="E155:F155"/>
    <mergeCell ref="B148:D148"/>
    <mergeCell ref="E148:F148"/>
    <mergeCell ref="B150:D150"/>
    <mergeCell ref="E150:F150"/>
    <mergeCell ref="B152:C152"/>
    <mergeCell ref="E152:F152"/>
    <mergeCell ref="B146:D146"/>
    <mergeCell ref="E146:F146"/>
    <mergeCell ref="B147:D147"/>
    <mergeCell ref="E147:F147"/>
    <mergeCell ref="G109:G110"/>
    <mergeCell ref="H109:H110"/>
    <mergeCell ref="B142:D142"/>
    <mergeCell ref="E142:F142"/>
    <mergeCell ref="B144:D144"/>
    <mergeCell ref="E144:F144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B103:C103"/>
    <mergeCell ref="B105:C105"/>
    <mergeCell ref="B106:C106"/>
    <mergeCell ref="B108:F108"/>
    <mergeCell ref="B109:B110"/>
    <mergeCell ref="C109:D109"/>
    <mergeCell ref="E109:E110"/>
    <mergeCell ref="F109:F110"/>
    <mergeCell ref="B145:D145"/>
    <mergeCell ref="E145:F145"/>
    <mergeCell ref="C135:D135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B23:C23"/>
    <mergeCell ref="B15:D15"/>
    <mergeCell ref="E15:G15"/>
    <mergeCell ref="B16:D16"/>
    <mergeCell ref="E16:G16"/>
    <mergeCell ref="B17:D17"/>
    <mergeCell ref="E17:G17"/>
    <mergeCell ref="B31:D31"/>
    <mergeCell ref="B32:D32"/>
    <mergeCell ref="B20:C21"/>
    <mergeCell ref="D20:D21"/>
    <mergeCell ref="E20:G20"/>
    <mergeCell ref="B22:C22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80:C80"/>
    <mergeCell ref="B81:C81"/>
    <mergeCell ref="B82:C82"/>
    <mergeCell ref="B83:C83"/>
    <mergeCell ref="B84:C84"/>
    <mergeCell ref="B85:C85"/>
    <mergeCell ref="B86:C86"/>
    <mergeCell ref="C133:D133"/>
    <mergeCell ref="C134:D134"/>
    <mergeCell ref="B87:C87"/>
    <mergeCell ref="B88:C88"/>
    <mergeCell ref="B89:C89"/>
    <mergeCell ref="B90:C90"/>
    <mergeCell ref="B91:C91"/>
    <mergeCell ref="B92:C92"/>
    <mergeCell ref="B96:C96"/>
    <mergeCell ref="B97:C97"/>
    <mergeCell ref="B98:C98"/>
    <mergeCell ref="B99:C99"/>
    <mergeCell ref="B100:C100"/>
    <mergeCell ref="B101:C101"/>
    <mergeCell ref="B94:G94"/>
    <mergeCell ref="B95:C95"/>
    <mergeCell ref="B102:C102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1" max="7" man="1"/>
    <brk id="1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4"/>
  <sheetViews>
    <sheetView view="pageBreakPreview" zoomScale="70" zoomScaleSheetLayoutView="70" workbookViewId="0">
      <selection activeCell="B28" sqref="B28:G28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7.1406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184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185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3736.1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3412.9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323.2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3736.1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162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77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169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67394.929999999993</v>
      </c>
      <c r="E22" s="7">
        <v>67394.929999999993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1363464.72</v>
      </c>
      <c r="E23" s="45">
        <f>E38+D96+C140</f>
        <v>605493.12</v>
      </c>
      <c r="F23" s="7">
        <f>D97+D98+D99+D100+D101+D102+D103+D104</f>
        <v>131336.95000000001</v>
      </c>
      <c r="G23" s="7">
        <f>F111+F112+F113+F114+F115+F116</f>
        <v>626634.64999999991</v>
      </c>
      <c r="H23" s="2"/>
    </row>
    <row r="24" spans="1:8" x14ac:dyDescent="0.25">
      <c r="B24" s="223" t="s">
        <v>24</v>
      </c>
      <c r="C24" s="224"/>
      <c r="D24" s="43">
        <f>E24+F24+G24</f>
        <v>1149889.1099999999</v>
      </c>
      <c r="E24" s="45">
        <f>F38+E96+D138+D139</f>
        <v>552635.48</v>
      </c>
      <c r="F24" s="7">
        <f>E97+E98+E100+E101+E104+E99+E102+E103</f>
        <v>131413.38</v>
      </c>
      <c r="G24" s="7">
        <f>G117</f>
        <v>465840.25</v>
      </c>
      <c r="H24" s="2"/>
    </row>
    <row r="25" spans="1:8" x14ac:dyDescent="0.25">
      <c r="B25" s="223" t="s">
        <v>25</v>
      </c>
      <c r="C25" s="224"/>
      <c r="D25" s="7">
        <f>E25+F25+G25</f>
        <v>1584987.15</v>
      </c>
      <c r="E25" s="7">
        <f>D140+919972.5</f>
        <v>987733.52</v>
      </c>
      <c r="F25" s="7">
        <f>F24</f>
        <v>131413.38</v>
      </c>
      <c r="G25" s="7">
        <f>G24</f>
        <v>465840.25</v>
      </c>
      <c r="H25" s="2"/>
    </row>
    <row r="26" spans="1:8" x14ac:dyDescent="0.25">
      <c r="B26" s="223" t="s">
        <v>252</v>
      </c>
      <c r="C26" s="224"/>
      <c r="D26" s="7">
        <f>E26+F26+G26</f>
        <v>566343.96000000008</v>
      </c>
      <c r="E26" s="45">
        <f>G38+G96+F140</f>
        <v>151654.87</v>
      </c>
      <c r="F26" s="45">
        <f>G105-G96</f>
        <v>74311.91</v>
      </c>
      <c r="G26" s="45">
        <f>H117</f>
        <v>340377.18000000005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64120.46</v>
      </c>
      <c r="F31" s="40">
        <v>59713.19</v>
      </c>
      <c r="G31" s="88">
        <f>17616.44-5840.24</f>
        <v>11776.199999999999</v>
      </c>
      <c r="H31" s="5"/>
    </row>
    <row r="32" spans="1:8" x14ac:dyDescent="0.25">
      <c r="B32" s="174" t="s">
        <v>34</v>
      </c>
      <c r="C32" s="212"/>
      <c r="D32" s="175"/>
      <c r="E32" s="88">
        <v>82107.570000000007</v>
      </c>
      <c r="F32" s="40">
        <v>77137.78</v>
      </c>
      <c r="G32" s="88">
        <f>23088.56-7595.96</f>
        <v>15492.600000000002</v>
      </c>
      <c r="H32" s="5"/>
    </row>
    <row r="33" spans="2:8" x14ac:dyDescent="0.25">
      <c r="B33" s="174" t="s">
        <v>35</v>
      </c>
      <c r="C33" s="212"/>
      <c r="D33" s="175"/>
      <c r="E33" s="88">
        <v>51627.97</v>
      </c>
      <c r="F33" s="40">
        <v>48435.75</v>
      </c>
      <c r="G33" s="88">
        <f>14586.4-4693.78</f>
        <v>9892.619999999999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123625.23</v>
      </c>
      <c r="F35" s="40">
        <v>115365.33</v>
      </c>
      <c r="G35" s="88">
        <f>34834.16-11395.28</f>
        <v>23438.880000000005</v>
      </c>
      <c r="H35" s="5"/>
    </row>
    <row r="36" spans="2:8" x14ac:dyDescent="0.25">
      <c r="B36" s="174" t="s">
        <v>38</v>
      </c>
      <c r="C36" s="212"/>
      <c r="D36" s="175"/>
      <c r="E36" s="88">
        <v>87470.45</v>
      </c>
      <c r="F36" s="40">
        <f>80516.85+1241.44</f>
        <v>81758.290000000008</v>
      </c>
      <c r="G36" s="88">
        <f>18886.68+3969.98+3745.57-9564.41</f>
        <v>17037.82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84497.36</v>
      </c>
      <c r="F37" s="40">
        <f>969.83+78080.48</f>
        <v>79050.31</v>
      </c>
      <c r="G37" s="88">
        <f>20684.78+3356.94-7696.36</f>
        <v>16345.359999999997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493449.04</v>
      </c>
      <c r="F38" s="41">
        <f>SUM(F31:F37)</f>
        <v>461460.64999999997</v>
      </c>
      <c r="G38" s="41">
        <f>SUM(G31:G37)</f>
        <v>93983.48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197856</v>
      </c>
      <c r="G44" s="123"/>
      <c r="H44" s="123">
        <f t="shared" ref="H44" si="0">H45+H46+H47</f>
        <v>179974.47999999998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64120.46</v>
      </c>
      <c r="G45" s="114"/>
      <c r="H45" s="112">
        <f>33827.1-8003.36</f>
        <v>25823.739999999998</v>
      </c>
    </row>
    <row r="46" spans="2:8" x14ac:dyDescent="0.25">
      <c r="B46" s="210" t="s">
        <v>49</v>
      </c>
      <c r="C46" s="211"/>
      <c r="D46" s="24">
        <v>2014</v>
      </c>
      <c r="E46" s="10"/>
      <c r="F46" s="105">
        <f>E32</f>
        <v>82107.570000000007</v>
      </c>
      <c r="G46" s="114"/>
      <c r="H46" s="112">
        <f>120897-10289.62</f>
        <v>110607.38</v>
      </c>
    </row>
    <row r="47" spans="2:8" x14ac:dyDescent="0.25">
      <c r="B47" s="174" t="s">
        <v>35</v>
      </c>
      <c r="C47" s="175"/>
      <c r="D47" s="24">
        <v>2014</v>
      </c>
      <c r="E47" s="10"/>
      <c r="F47" s="105">
        <f>E33</f>
        <v>51627.97</v>
      </c>
      <c r="G47" s="114"/>
      <c r="H47" s="112">
        <f>50060.3-6516.94</f>
        <v>43543.360000000001</v>
      </c>
    </row>
    <row r="48" spans="2:8" hidden="1" x14ac:dyDescent="0.25">
      <c r="B48" s="174" t="s">
        <v>36</v>
      </c>
      <c r="C48" s="175"/>
      <c r="D48" s="88"/>
      <c r="E48" s="10"/>
      <c r="F48" s="14"/>
      <c r="G48" s="10"/>
      <c r="H48" s="14"/>
    </row>
    <row r="49" spans="2:8" x14ac:dyDescent="0.25">
      <c r="B49" s="202" t="s">
        <v>65</v>
      </c>
      <c r="C49" s="203"/>
      <c r="D49" s="88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268</v>
      </c>
      <c r="F51" s="151">
        <f>8982.42+2140+126</f>
        <v>11248.42</v>
      </c>
      <c r="G51" s="150" t="s">
        <v>268</v>
      </c>
      <c r="H51" s="151">
        <f>8982.42+2140+126</f>
        <v>11248.42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1171</v>
      </c>
      <c r="G52" s="149" t="s">
        <v>267</v>
      </c>
      <c r="H52" s="152">
        <v>2472.83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935+3432.69</f>
        <v>4367.6900000000005</v>
      </c>
      <c r="G53" s="149" t="s">
        <v>267</v>
      </c>
      <c r="H53" s="152">
        <f>852.07+3301.1</f>
        <v>4153.17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x14ac:dyDescent="0.25">
      <c r="B55" s="239" t="s">
        <v>274</v>
      </c>
      <c r="C55" s="240"/>
      <c r="D55" s="108" t="s">
        <v>272</v>
      </c>
      <c r="E55" s="155" t="s">
        <v>275</v>
      </c>
      <c r="F55" s="156">
        <v>330981.59999999998</v>
      </c>
      <c r="G55" s="155" t="s">
        <v>275</v>
      </c>
      <c r="H55" s="156">
        <v>330981.59999999998</v>
      </c>
    </row>
    <row r="56" spans="2:8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x14ac:dyDescent="0.25">
      <c r="B57" s="239" t="s">
        <v>277</v>
      </c>
      <c r="C57" s="240"/>
      <c r="D57" s="108" t="s">
        <v>272</v>
      </c>
      <c r="E57" s="108"/>
      <c r="F57" s="157"/>
      <c r="G57" s="155" t="s">
        <v>308</v>
      </c>
      <c r="H57" s="156">
        <v>12000</v>
      </c>
    </row>
    <row r="58" spans="2:8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x14ac:dyDescent="0.25">
      <c r="B60" s="208" t="s">
        <v>69</v>
      </c>
      <c r="C60" s="209"/>
      <c r="D60" s="108" t="s">
        <v>272</v>
      </c>
      <c r="E60" s="161" t="s">
        <v>340</v>
      </c>
      <c r="F60" s="152">
        <v>147840</v>
      </c>
      <c r="G60" s="161" t="s">
        <v>340</v>
      </c>
      <c r="H60" s="152">
        <v>147840</v>
      </c>
    </row>
    <row r="61" spans="2:8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x14ac:dyDescent="0.25">
      <c r="B64" s="208" t="s">
        <v>283</v>
      </c>
      <c r="C64" s="209"/>
      <c r="D64" s="150"/>
      <c r="E64" s="150"/>
      <c r="F64" s="151"/>
      <c r="G64" s="150"/>
      <c r="H64" s="151">
        <v>435.38</v>
      </c>
    </row>
    <row r="65" spans="2:11" ht="18" customHeight="1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11" ht="30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11" ht="33.7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11" ht="40.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11" ht="82.5" customHeight="1" x14ac:dyDescent="0.25">
      <c r="B69" s="208" t="s">
        <v>54</v>
      </c>
      <c r="C69" s="209"/>
      <c r="D69" s="150" t="s">
        <v>266</v>
      </c>
      <c r="E69" s="150" t="s">
        <v>271</v>
      </c>
      <c r="F69" s="151">
        <v>6716.13</v>
      </c>
      <c r="G69" s="150" t="s">
        <v>271</v>
      </c>
      <c r="H69" s="151">
        <v>6469.81</v>
      </c>
    </row>
    <row r="70" spans="2:11" x14ac:dyDescent="0.25">
      <c r="B70" s="208" t="s">
        <v>55</v>
      </c>
      <c r="C70" s="209"/>
      <c r="D70" s="108" t="s">
        <v>266</v>
      </c>
      <c r="E70" s="108" t="s">
        <v>287</v>
      </c>
      <c r="F70" s="152">
        <v>7084</v>
      </c>
      <c r="G70" s="108"/>
      <c r="H70" s="152">
        <f>2580.77</f>
        <v>2580.77</v>
      </c>
    </row>
    <row r="71" spans="2:11" x14ac:dyDescent="0.25">
      <c r="B71" s="208" t="s">
        <v>56</v>
      </c>
      <c r="C71" s="209"/>
      <c r="D71" s="108" t="s">
        <v>266</v>
      </c>
      <c r="E71" s="108" t="s">
        <v>271</v>
      </c>
      <c r="F71" s="152">
        <v>14675.51</v>
      </c>
      <c r="G71" s="108" t="s">
        <v>271</v>
      </c>
      <c r="H71" s="152">
        <v>14675.51</v>
      </c>
    </row>
    <row r="72" spans="2:11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  <c r="K72" s="5"/>
    </row>
    <row r="73" spans="2:11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11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11" ht="15" customHeight="1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11" ht="30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11" ht="33.75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11" ht="76.5" customHeight="1" x14ac:dyDescent="0.25">
      <c r="B78" s="208" t="s">
        <v>62</v>
      </c>
      <c r="C78" s="209"/>
      <c r="D78" s="150" t="s">
        <v>266</v>
      </c>
      <c r="E78" s="150" t="s">
        <v>271</v>
      </c>
      <c r="F78" s="151">
        <f>7191.01+5074.41+3527.67</f>
        <v>15793.09</v>
      </c>
      <c r="G78" s="150" t="s">
        <v>271</v>
      </c>
      <c r="H78" s="151">
        <f>7258.85+5081.2+3556.84</f>
        <v>15896.89</v>
      </c>
    </row>
    <row r="79" spans="2:11" x14ac:dyDescent="0.25">
      <c r="B79" s="208" t="s">
        <v>290</v>
      </c>
      <c r="C79" s="209"/>
      <c r="D79" s="108" t="s">
        <v>291</v>
      </c>
      <c r="E79" s="161" t="s">
        <v>341</v>
      </c>
      <c r="F79" s="152">
        <f>3232.3+15092+6675.43</f>
        <v>24999.73</v>
      </c>
      <c r="G79" s="108" t="s">
        <v>288</v>
      </c>
      <c r="H79" s="152">
        <f>5107.44+11878.19+3232.3+564.97+3174.2</f>
        <v>23957.100000000002</v>
      </c>
    </row>
    <row r="80" spans="2:11" x14ac:dyDescent="0.25">
      <c r="B80" s="208" t="s">
        <v>282</v>
      </c>
      <c r="C80" s="209"/>
      <c r="D80" s="108"/>
      <c r="E80" s="108"/>
      <c r="F80" s="154"/>
      <c r="G80" s="108"/>
      <c r="H80" s="152"/>
    </row>
    <row r="81" spans="2:8" x14ac:dyDescent="0.25">
      <c r="B81" s="243" t="s">
        <v>63</v>
      </c>
      <c r="C81" s="244"/>
      <c r="D81" s="153"/>
      <c r="E81" s="108" t="s">
        <v>271</v>
      </c>
      <c r="F81" s="152">
        <v>13280.52</v>
      </c>
      <c r="G81" s="108" t="s">
        <v>271</v>
      </c>
      <c r="H81" s="152">
        <v>13280.52</v>
      </c>
    </row>
    <row r="82" spans="2:8" x14ac:dyDescent="0.25">
      <c r="B82" s="243" t="s">
        <v>64</v>
      </c>
      <c r="C82" s="244"/>
      <c r="D82" s="108"/>
      <c r="E82" s="108" t="s">
        <v>271</v>
      </c>
      <c r="F82" s="152">
        <v>11261.4</v>
      </c>
      <c r="G82" s="108" t="s">
        <v>271</v>
      </c>
      <c r="H82" s="152">
        <v>11012.18</v>
      </c>
    </row>
    <row r="83" spans="2:8" x14ac:dyDescent="0.25">
      <c r="B83" s="243" t="s">
        <v>294</v>
      </c>
      <c r="C83" s="244"/>
      <c r="D83" s="108"/>
      <c r="E83" s="108"/>
      <c r="F83" s="162"/>
      <c r="G83" s="163"/>
      <c r="H83" s="162"/>
    </row>
    <row r="84" spans="2:8" x14ac:dyDescent="0.25">
      <c r="B84" s="208" t="s">
        <v>295</v>
      </c>
      <c r="C84" s="209"/>
      <c r="D84" s="153" t="s">
        <v>296</v>
      </c>
      <c r="E84" s="108"/>
      <c r="F84" s="152"/>
      <c r="G84" s="108"/>
      <c r="H84" s="152"/>
    </row>
    <row r="85" spans="2:8" x14ac:dyDescent="0.25">
      <c r="B85" s="208" t="s">
        <v>71</v>
      </c>
      <c r="C85" s="209"/>
      <c r="D85" s="153" t="s">
        <v>297</v>
      </c>
      <c r="E85" s="108" t="s">
        <v>298</v>
      </c>
      <c r="F85" s="152">
        <v>2830</v>
      </c>
      <c r="G85" s="108" t="s">
        <v>298</v>
      </c>
      <c r="H85" s="152">
        <v>2683.62</v>
      </c>
    </row>
    <row r="86" spans="2:8" x14ac:dyDescent="0.25">
      <c r="B86" s="208" t="s">
        <v>72</v>
      </c>
      <c r="C86" s="209"/>
      <c r="D86" s="108" t="s">
        <v>299</v>
      </c>
      <c r="E86" s="108" t="s">
        <v>342</v>
      </c>
      <c r="F86" s="152">
        <v>1594.51</v>
      </c>
      <c r="G86" s="108" t="s">
        <v>342</v>
      </c>
      <c r="H86" s="152">
        <v>1594.51</v>
      </c>
    </row>
    <row r="87" spans="2:8" x14ac:dyDescent="0.25">
      <c r="B87" s="208" t="s">
        <v>301</v>
      </c>
      <c r="C87" s="209"/>
      <c r="D87" s="108" t="s">
        <v>291</v>
      </c>
      <c r="E87" s="108" t="s">
        <v>271</v>
      </c>
      <c r="F87" s="152">
        <v>12543.57</v>
      </c>
      <c r="G87" s="108" t="s">
        <v>271</v>
      </c>
      <c r="H87" s="161">
        <v>12543.57</v>
      </c>
    </row>
    <row r="88" spans="2:8" x14ac:dyDescent="0.25">
      <c r="B88" s="208" t="s">
        <v>282</v>
      </c>
      <c r="C88" s="209"/>
      <c r="D88" s="108"/>
      <c r="E88" s="108"/>
      <c r="F88" s="154"/>
      <c r="G88" s="108"/>
      <c r="H88" s="154"/>
    </row>
    <row r="89" spans="2:8" x14ac:dyDescent="0.25">
      <c r="B89" s="208" t="s">
        <v>302</v>
      </c>
      <c r="C89" s="209"/>
      <c r="D89" s="108" t="s">
        <v>291</v>
      </c>
      <c r="E89" s="108" t="s">
        <v>343</v>
      </c>
      <c r="F89" s="152">
        <v>5562.86</v>
      </c>
      <c r="G89" s="108" t="s">
        <v>343</v>
      </c>
      <c r="H89" s="152">
        <v>4576.25</v>
      </c>
    </row>
    <row r="90" spans="2:8" x14ac:dyDescent="0.25">
      <c r="B90" s="208" t="s">
        <v>311</v>
      </c>
      <c r="C90" s="209"/>
      <c r="D90" s="108"/>
      <c r="E90" s="108" t="s">
        <v>344</v>
      </c>
      <c r="F90" s="152">
        <v>3240</v>
      </c>
      <c r="G90" s="108" t="s">
        <v>344</v>
      </c>
      <c r="H90" s="152">
        <v>3240</v>
      </c>
    </row>
    <row r="91" spans="2:8" ht="40.5" customHeight="1" x14ac:dyDescent="0.25">
      <c r="B91" s="208" t="s">
        <v>320</v>
      </c>
      <c r="C91" s="209"/>
      <c r="D91" s="108"/>
      <c r="E91" s="108"/>
      <c r="F91" s="152">
        <v>62618.79</v>
      </c>
      <c r="G91" s="108"/>
      <c r="H91" s="152">
        <v>62618.79</v>
      </c>
    </row>
    <row r="92" spans="2:8" x14ac:dyDescent="0.25">
      <c r="B92" s="206" t="s">
        <v>73</v>
      </c>
      <c r="C92" s="207"/>
      <c r="D92" s="108"/>
      <c r="E92" s="108"/>
      <c r="F92" s="165">
        <v>898100</v>
      </c>
      <c r="G92" s="165"/>
      <c r="H92" s="165">
        <f>919972.5-39221</f>
        <v>880751.5</v>
      </c>
    </row>
    <row r="93" spans="2:8" x14ac:dyDescent="0.25">
      <c r="B93" s="9"/>
      <c r="C93" s="9"/>
      <c r="D93" s="5"/>
      <c r="E93" s="5"/>
      <c r="F93" s="15"/>
      <c r="G93" s="5"/>
      <c r="H93" s="15"/>
    </row>
    <row r="94" spans="2:8" x14ac:dyDescent="0.25">
      <c r="B94" s="201" t="s">
        <v>177</v>
      </c>
      <c r="C94" s="201"/>
      <c r="D94" s="201"/>
      <c r="E94" s="201"/>
      <c r="F94" s="201"/>
      <c r="G94" s="201"/>
    </row>
    <row r="95" spans="2:8" ht="63" customHeight="1" x14ac:dyDescent="0.25">
      <c r="B95" s="194" t="s">
        <v>29</v>
      </c>
      <c r="C95" s="194"/>
      <c r="D95" s="91" t="s">
        <v>30</v>
      </c>
      <c r="E95" s="91" t="s">
        <v>31</v>
      </c>
      <c r="F95" s="89" t="s">
        <v>82</v>
      </c>
      <c r="G95" s="89" t="s">
        <v>32</v>
      </c>
    </row>
    <row r="96" spans="2:8" x14ac:dyDescent="0.25">
      <c r="B96" s="181" t="s">
        <v>83</v>
      </c>
      <c r="C96" s="183"/>
      <c r="D96" s="88">
        <v>38407.32</v>
      </c>
      <c r="E96" s="88">
        <v>23413.81</v>
      </c>
      <c r="F96" s="88">
        <f>E96</f>
        <v>23413.81</v>
      </c>
      <c r="G96" s="85">
        <f>28356.18-9601.83</f>
        <v>18754.349999999999</v>
      </c>
    </row>
    <row r="97" spans="2:8" x14ac:dyDescent="0.25">
      <c r="B97" s="181" t="s">
        <v>84</v>
      </c>
      <c r="C97" s="183"/>
      <c r="D97" s="88">
        <f>17220.7-567.31+4664.08-166.87+5324.6-149+9092.33</f>
        <v>35418.530000000006</v>
      </c>
      <c r="E97" s="88">
        <f>17419.5+4750.09+5167.4+8845.26</f>
        <v>36182.25</v>
      </c>
      <c r="F97" s="88">
        <f t="shared" ref="F97:F104" si="1">E97</f>
        <v>36182.25</v>
      </c>
      <c r="G97" s="85">
        <f>13603.2+3557.04+3140.69-4394.6-1190.24-1358.8+1441.99</f>
        <v>14799.28</v>
      </c>
    </row>
    <row r="98" spans="2:8" ht="30" customHeight="1" x14ac:dyDescent="0.25">
      <c r="B98" s="174" t="s">
        <v>85</v>
      </c>
      <c r="C98" s="175"/>
      <c r="D98" s="88">
        <v>12737.16</v>
      </c>
      <c r="E98" s="88">
        <v>12104.15</v>
      </c>
      <c r="F98" s="88">
        <f t="shared" si="1"/>
        <v>12104.15</v>
      </c>
      <c r="G98" s="85">
        <f>9732-3184.29</f>
        <v>6547.71</v>
      </c>
    </row>
    <row r="99" spans="2:8" ht="30" customHeight="1" x14ac:dyDescent="0.25">
      <c r="B99" s="174" t="s">
        <v>86</v>
      </c>
      <c r="C99" s="175"/>
      <c r="D99" s="88">
        <f>3254.84-8.42</f>
        <v>3246.42</v>
      </c>
      <c r="E99" s="88">
        <v>3086.03</v>
      </c>
      <c r="F99" s="88">
        <f t="shared" si="1"/>
        <v>3086.03</v>
      </c>
      <c r="G99" s="85">
        <f>2406.02-813.71</f>
        <v>1592.31</v>
      </c>
    </row>
    <row r="100" spans="2:8" x14ac:dyDescent="0.25">
      <c r="B100" s="174" t="s">
        <v>87</v>
      </c>
      <c r="C100" s="175"/>
      <c r="D100" s="88">
        <f>-452.87+47725.36-121.88</f>
        <v>47150.61</v>
      </c>
      <c r="E100" s="88">
        <f>2129.1+43863.71</f>
        <v>45992.81</v>
      </c>
      <c r="F100" s="88">
        <f t="shared" si="1"/>
        <v>45992.81</v>
      </c>
      <c r="G100" s="85">
        <f>13736.56+30429.19-11931.34</f>
        <v>32234.41</v>
      </c>
    </row>
    <row r="101" spans="2:8" x14ac:dyDescent="0.25">
      <c r="B101" s="174" t="s">
        <v>88</v>
      </c>
      <c r="C101" s="175"/>
      <c r="D101" s="88">
        <f>2391.14-5.92</f>
        <v>2385.2199999999998</v>
      </c>
      <c r="E101" s="88">
        <v>2200.39</v>
      </c>
      <c r="F101" s="88">
        <f t="shared" si="1"/>
        <v>2200.39</v>
      </c>
      <c r="G101" s="85">
        <f>1859.02-597.77</f>
        <v>1261.25</v>
      </c>
    </row>
    <row r="102" spans="2:8" x14ac:dyDescent="0.25">
      <c r="B102" s="174" t="s">
        <v>150</v>
      </c>
      <c r="C102" s="175"/>
      <c r="D102" s="88">
        <v>7840</v>
      </c>
      <c r="E102" s="88">
        <f>7609.95+42.32</f>
        <v>7652.2699999999995</v>
      </c>
      <c r="F102" s="88">
        <f t="shared" si="1"/>
        <v>7652.2699999999995</v>
      </c>
      <c r="G102" s="85">
        <f>4964.17+262.78-1960</f>
        <v>3266.95</v>
      </c>
    </row>
    <row r="103" spans="2:8" x14ac:dyDescent="0.25">
      <c r="B103" s="174" t="s">
        <v>89</v>
      </c>
      <c r="C103" s="175"/>
      <c r="D103" s="88">
        <f>7700-25</f>
        <v>7675</v>
      </c>
      <c r="E103" s="88">
        <v>7500.67</v>
      </c>
      <c r="F103" s="88">
        <f t="shared" si="1"/>
        <v>7500.67</v>
      </c>
      <c r="G103" s="85">
        <f>5552.7-1925</f>
        <v>3627.7</v>
      </c>
    </row>
    <row r="104" spans="2:8" ht="30" x14ac:dyDescent="0.25">
      <c r="B104" s="86" t="s">
        <v>81</v>
      </c>
      <c r="C104" s="87"/>
      <c r="D104" s="88">
        <f>14944.8-37-23.79</f>
        <v>14884.009999999998</v>
      </c>
      <c r="E104" s="88">
        <f>13820.76+2788.82+9.06+76.17</f>
        <v>16694.810000000001</v>
      </c>
      <c r="F104" s="88">
        <f t="shared" si="1"/>
        <v>16694.810000000001</v>
      </c>
      <c r="G104" s="85">
        <f>12171.15-3.33+1421.13+108.59+1020.86-3736.1</f>
        <v>10982.300000000001</v>
      </c>
    </row>
    <row r="105" spans="2:8" ht="18.75" customHeight="1" x14ac:dyDescent="0.25">
      <c r="B105" s="202" t="s">
        <v>90</v>
      </c>
      <c r="C105" s="203"/>
      <c r="D105" s="90">
        <f>SUM(D96:D104)</f>
        <v>169744.27000000002</v>
      </c>
      <c r="E105" s="90">
        <f>SUM(E96:E104)</f>
        <v>154827.19</v>
      </c>
      <c r="F105" s="88">
        <f>E105</f>
        <v>154827.19</v>
      </c>
      <c r="G105" s="90">
        <f>SUM(G96:G104)</f>
        <v>93066.26</v>
      </c>
    </row>
    <row r="106" spans="2:8" x14ac:dyDescent="0.25">
      <c r="B106" s="202" t="s">
        <v>91</v>
      </c>
      <c r="C106" s="203"/>
      <c r="D106" s="96">
        <f>D105+F117+E38+C140</f>
        <v>1363464.72</v>
      </c>
      <c r="E106" s="96">
        <f>E105+G117+F38+D140</f>
        <v>1149889.1099999999</v>
      </c>
      <c r="F106" s="96">
        <f>E106</f>
        <v>1149889.1099999999</v>
      </c>
      <c r="G106" s="96">
        <f>G38+G105+H117+F140</f>
        <v>566343.96000000008</v>
      </c>
    </row>
    <row r="107" spans="2:8" x14ac:dyDescent="0.25">
      <c r="B107" s="16"/>
      <c r="C107" s="16"/>
      <c r="D107" s="16"/>
      <c r="E107" s="17"/>
      <c r="F107" s="17"/>
      <c r="G107" s="17"/>
      <c r="H107" s="17"/>
    </row>
    <row r="108" spans="2:8" x14ac:dyDescent="0.25">
      <c r="B108" s="204" t="s">
        <v>176</v>
      </c>
      <c r="C108" s="201"/>
      <c r="D108" s="201"/>
      <c r="E108" s="201"/>
      <c r="F108" s="201"/>
    </row>
    <row r="109" spans="2:8" ht="38.25" customHeight="1" x14ac:dyDescent="0.25">
      <c r="B109" s="194" t="s">
        <v>29</v>
      </c>
      <c r="C109" s="194" t="s">
        <v>93</v>
      </c>
      <c r="D109" s="194"/>
      <c r="E109" s="205" t="s">
        <v>94</v>
      </c>
      <c r="F109" s="194" t="s">
        <v>30</v>
      </c>
      <c r="G109" s="194" t="s">
        <v>31</v>
      </c>
      <c r="H109" s="195" t="s">
        <v>95</v>
      </c>
    </row>
    <row r="110" spans="2:8" ht="35.25" customHeight="1" x14ac:dyDescent="0.25">
      <c r="B110" s="194"/>
      <c r="C110" s="91" t="s">
        <v>96</v>
      </c>
      <c r="D110" s="19" t="s">
        <v>97</v>
      </c>
      <c r="E110" s="205"/>
      <c r="F110" s="194"/>
      <c r="G110" s="194"/>
      <c r="H110" s="195"/>
    </row>
    <row r="111" spans="2:8" x14ac:dyDescent="0.25">
      <c r="B111" s="10" t="s">
        <v>98</v>
      </c>
      <c r="C111" s="88">
        <v>1400.08</v>
      </c>
      <c r="D111" s="42">
        <v>1439.26</v>
      </c>
      <c r="E111" s="110">
        <v>197.23</v>
      </c>
      <c r="F111" s="88">
        <f>-1813.77+283870.2-5051.19</f>
        <v>277005.24</v>
      </c>
      <c r="G111" s="88">
        <f>345.28+154080.11</f>
        <v>154425.38999999998</v>
      </c>
      <c r="H111" s="88">
        <f>1134.92+207666.27-113714.54</f>
        <v>95086.650000000009</v>
      </c>
    </row>
    <row r="112" spans="2:8" x14ac:dyDescent="0.25">
      <c r="B112" s="10" t="s">
        <v>147</v>
      </c>
      <c r="C112" s="88">
        <v>22.15</v>
      </c>
      <c r="D112" s="42">
        <v>26.44</v>
      </c>
      <c r="E112" s="110">
        <v>1107.72</v>
      </c>
      <c r="F112" s="88">
        <f>119167.17+1432.17+7851.17-600.2+1812.88-127.6+27373.89+340.43</f>
        <v>157249.90999999997</v>
      </c>
      <c r="G112" s="88">
        <f>104505.94+2088.96+557.44+23843.56</f>
        <v>130995.90000000001</v>
      </c>
      <c r="H112" s="88">
        <f>107600.5+6563.66+1519.73+21183.99-31390.34+576.59-4378.52-82.2-1071.5-17.67-7681.24+123.38</f>
        <v>92946.38</v>
      </c>
    </row>
    <row r="113" spans="2:8" x14ac:dyDescent="0.25">
      <c r="B113" s="10" t="s">
        <v>99</v>
      </c>
      <c r="C113" s="88">
        <v>18.43</v>
      </c>
      <c r="D113" s="42">
        <v>19.22</v>
      </c>
      <c r="E113" s="110">
        <v>1634</v>
      </c>
      <c r="F113" s="88">
        <f>87.37-83.03+31208.75-963.49-4.17</f>
        <v>30245.43</v>
      </c>
      <c r="G113" s="88">
        <f>181.94+55.27+29423.66+416.38</f>
        <v>30077.25</v>
      </c>
      <c r="H113" s="88">
        <f>512.54-9.55+34003.84+3835.11-4.34-7084.47-70.31</f>
        <v>31182.819999999996</v>
      </c>
    </row>
    <row r="114" spans="2:8" x14ac:dyDescent="0.25">
      <c r="B114" s="10" t="s">
        <v>100</v>
      </c>
      <c r="C114" s="88">
        <v>12.31</v>
      </c>
      <c r="D114" s="42">
        <v>12.84</v>
      </c>
      <c r="E114" s="110">
        <v>2669.4</v>
      </c>
      <c r="F114" s="88">
        <f>34232.44-295.61-133.57</f>
        <v>33803.26</v>
      </c>
      <c r="G114" s="88">
        <f>32144.47+5.02</f>
        <v>32149.49</v>
      </c>
      <c r="H114" s="88">
        <f>36013.19+14.23-8501.56-38.59</f>
        <v>27487.270000000008</v>
      </c>
    </row>
    <row r="115" spans="2:8" x14ac:dyDescent="0.25">
      <c r="B115" s="10" t="s">
        <v>101</v>
      </c>
      <c r="C115" s="88" t="s">
        <v>145</v>
      </c>
      <c r="D115" s="42" t="s">
        <v>146</v>
      </c>
      <c r="E115" s="110">
        <v>121872.9</v>
      </c>
      <c r="F115" s="88">
        <f>27234.8-144.6+92470.18-1758.07</f>
        <v>117802.30999999998</v>
      </c>
      <c r="G115" s="88">
        <f>19777.61+88776.59</f>
        <v>108554.2</v>
      </c>
      <c r="H115" s="88">
        <f>46953.1+77068.15-3.34-4881.71-30.92-25141.24+45.52</f>
        <v>94009.56</v>
      </c>
    </row>
    <row r="116" spans="2:8" x14ac:dyDescent="0.25">
      <c r="B116" s="10" t="s">
        <v>102</v>
      </c>
      <c r="C116" s="88">
        <v>2.2999999999999998</v>
      </c>
      <c r="D116" s="42">
        <v>2.39</v>
      </c>
      <c r="E116" s="110">
        <v>10597.6</v>
      </c>
      <c r="F116" s="88">
        <f>10324.33+204.17</f>
        <v>10528.5</v>
      </c>
      <c r="G116" s="88">
        <v>9638.02</v>
      </c>
      <c r="H116" s="88">
        <f>2542.01-2863.7-13.81</f>
        <v>-335.4999999999996</v>
      </c>
    </row>
    <row r="117" spans="2:8" x14ac:dyDescent="0.25">
      <c r="B117" s="11" t="s">
        <v>103</v>
      </c>
      <c r="C117" s="90"/>
      <c r="D117" s="42"/>
      <c r="E117" s="4"/>
      <c r="F117" s="90">
        <f>SUM(F111:F116)</f>
        <v>626634.64999999991</v>
      </c>
      <c r="G117" s="90">
        <f>SUM(G111:G116)</f>
        <v>465840.25</v>
      </c>
      <c r="H117" s="90">
        <f>SUM(H111:H116)</f>
        <v>340377.18000000005</v>
      </c>
    </row>
    <row r="118" spans="2:8" x14ac:dyDescent="0.25">
      <c r="B118" s="9"/>
      <c r="C118" s="138"/>
      <c r="D118" s="144"/>
      <c r="E118" s="121"/>
      <c r="F118" s="138"/>
      <c r="G118" s="138"/>
      <c r="H118" s="138"/>
    </row>
    <row r="119" spans="2:8" x14ac:dyDescent="0.25">
      <c r="B119" s="16"/>
      <c r="C119" s="16" t="s">
        <v>244</v>
      </c>
      <c r="D119" s="16"/>
      <c r="E119" s="17"/>
      <c r="F119" s="17"/>
      <c r="G119" s="17"/>
      <c r="H119" s="138"/>
    </row>
    <row r="120" spans="2:8" x14ac:dyDescent="0.25">
      <c r="B120" s="137" t="s">
        <v>228</v>
      </c>
      <c r="C120" s="137" t="s">
        <v>229</v>
      </c>
      <c r="D120" s="137"/>
      <c r="E120" s="131" t="s">
        <v>230</v>
      </c>
      <c r="F120" s="17"/>
      <c r="G120" s="17"/>
      <c r="H120" s="17"/>
    </row>
    <row r="121" spans="2:8" x14ac:dyDescent="0.25">
      <c r="B121" s="133" t="s">
        <v>231</v>
      </c>
      <c r="C121" s="199">
        <v>3</v>
      </c>
      <c r="D121" s="200"/>
      <c r="E121" s="105">
        <v>100</v>
      </c>
      <c r="F121" s="17"/>
      <c r="G121" s="17"/>
      <c r="H121" s="17"/>
    </row>
    <row r="122" spans="2:8" x14ac:dyDescent="0.25">
      <c r="B122" s="133" t="s">
        <v>232</v>
      </c>
      <c r="C122" s="199">
        <v>23</v>
      </c>
      <c r="D122" s="200"/>
      <c r="E122" s="105">
        <v>100</v>
      </c>
      <c r="F122" s="17"/>
      <c r="G122" s="17"/>
      <c r="H122" s="17"/>
    </row>
    <row r="123" spans="2:8" x14ac:dyDescent="0.25">
      <c r="B123" s="133" t="s">
        <v>233</v>
      </c>
      <c r="C123" s="199"/>
      <c r="D123" s="200"/>
      <c r="E123" s="105"/>
      <c r="F123" s="17"/>
      <c r="G123" s="17"/>
      <c r="H123" s="17"/>
    </row>
    <row r="124" spans="2:8" x14ac:dyDescent="0.25">
      <c r="B124" s="133" t="s">
        <v>234</v>
      </c>
      <c r="C124" s="199">
        <v>1</v>
      </c>
      <c r="D124" s="200"/>
      <c r="E124" s="105">
        <v>100</v>
      </c>
      <c r="F124" s="17"/>
      <c r="G124" s="17"/>
      <c r="H124" s="17"/>
    </row>
    <row r="125" spans="2:8" x14ac:dyDescent="0.25">
      <c r="B125" s="133" t="s">
        <v>235</v>
      </c>
      <c r="C125" s="199">
        <v>1</v>
      </c>
      <c r="D125" s="200"/>
      <c r="E125" s="105">
        <v>100</v>
      </c>
      <c r="F125" s="17"/>
      <c r="G125" s="17"/>
      <c r="H125" s="17"/>
    </row>
    <row r="126" spans="2:8" x14ac:dyDescent="0.25">
      <c r="B126" s="133" t="s">
        <v>236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70</v>
      </c>
      <c r="C127" s="199">
        <v>7</v>
      </c>
      <c r="D127" s="200"/>
      <c r="E127" s="105">
        <v>100</v>
      </c>
      <c r="F127" s="17"/>
      <c r="G127" s="17"/>
      <c r="H127" s="17"/>
    </row>
    <row r="128" spans="2:8" x14ac:dyDescent="0.25">
      <c r="B128" s="133" t="s">
        <v>237</v>
      </c>
      <c r="C128" s="199"/>
      <c r="D128" s="200"/>
      <c r="E128" s="105"/>
      <c r="F128" s="17"/>
      <c r="G128" s="17"/>
      <c r="H128" s="17"/>
    </row>
    <row r="129" spans="2:8" x14ac:dyDescent="0.25">
      <c r="B129" s="133" t="s">
        <v>238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239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240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241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242</v>
      </c>
      <c r="C133" s="199"/>
      <c r="D133" s="200"/>
      <c r="E133" s="105"/>
      <c r="F133" s="17"/>
      <c r="G133" s="17"/>
      <c r="H133" s="17"/>
    </row>
    <row r="134" spans="2:8" x14ac:dyDescent="0.25">
      <c r="B134" s="133" t="s">
        <v>243</v>
      </c>
      <c r="C134" s="199"/>
      <c r="D134" s="200"/>
      <c r="E134" s="105"/>
      <c r="F134" s="17"/>
      <c r="G134" s="17"/>
      <c r="H134" s="17"/>
    </row>
    <row r="135" spans="2:8" x14ac:dyDescent="0.25">
      <c r="B135" s="139" t="s">
        <v>103</v>
      </c>
      <c r="C135" s="245">
        <f>SUM(C121:C134)</f>
        <v>35</v>
      </c>
      <c r="D135" s="246"/>
      <c r="E135" s="123">
        <v>100</v>
      </c>
      <c r="F135" s="9"/>
      <c r="G135" s="9"/>
      <c r="H135" s="17"/>
    </row>
    <row r="136" spans="2:8" x14ac:dyDescent="0.25">
      <c r="B136" s="12"/>
      <c r="C136" s="12"/>
      <c r="D136" s="9"/>
      <c r="E136" s="9"/>
      <c r="F136" s="9"/>
      <c r="G136" s="9"/>
    </row>
    <row r="137" spans="2:8" ht="44.25" customHeight="1" x14ac:dyDescent="0.25">
      <c r="B137" s="33"/>
      <c r="C137" s="90" t="s">
        <v>30</v>
      </c>
      <c r="D137" s="90" t="s">
        <v>31</v>
      </c>
      <c r="E137" s="89" t="s">
        <v>104</v>
      </c>
      <c r="F137" s="89" t="s">
        <v>32</v>
      </c>
    </row>
    <row r="138" spans="2:8" x14ac:dyDescent="0.25">
      <c r="B138" s="32" t="s">
        <v>105</v>
      </c>
      <c r="C138" s="88">
        <f>68306-185</f>
        <v>68121</v>
      </c>
      <c r="D138" s="88">
        <f>60570.27+32.58+5.49</f>
        <v>60608.34</v>
      </c>
      <c r="E138" s="88"/>
      <c r="F138" s="85">
        <f>44417.22+498.38+202.66-17076</f>
        <v>28042.260000000002</v>
      </c>
    </row>
    <row r="139" spans="2:8" x14ac:dyDescent="0.25">
      <c r="B139" s="32" t="s">
        <v>106</v>
      </c>
      <c r="C139" s="88">
        <v>5515.76</v>
      </c>
      <c r="D139" s="88">
        <f>180.25+6972.43</f>
        <v>7152.68</v>
      </c>
      <c r="E139" s="88"/>
      <c r="F139" s="85">
        <f>1198.75+11054.97-1378.94</f>
        <v>10874.779999999999</v>
      </c>
    </row>
    <row r="140" spans="2:8" ht="28.5" x14ac:dyDescent="0.25">
      <c r="B140" s="33" t="s">
        <v>178</v>
      </c>
      <c r="C140" s="90">
        <f>SUM(C138:C139)</f>
        <v>73636.759999999995</v>
      </c>
      <c r="D140" s="90">
        <f>SUM(D138:D139)</f>
        <v>67761.01999999999</v>
      </c>
      <c r="E140" s="90"/>
      <c r="F140" s="90">
        <f>SUM(F138:F139)</f>
        <v>38917.040000000001</v>
      </c>
    </row>
    <row r="142" spans="2:8" x14ac:dyDescent="0.25">
      <c r="B142" s="177" t="s">
        <v>108</v>
      </c>
      <c r="C142" s="178"/>
      <c r="D142" s="179"/>
      <c r="E142" s="196">
        <f>G106</f>
        <v>566343.96000000008</v>
      </c>
      <c r="F142" s="197"/>
    </row>
    <row r="144" spans="2:8" x14ac:dyDescent="0.25">
      <c r="B144" s="198" t="s">
        <v>109</v>
      </c>
      <c r="C144" s="198"/>
      <c r="D144" s="198"/>
      <c r="E144" s="193"/>
      <c r="F144" s="193"/>
    </row>
    <row r="145" spans="2:8" x14ac:dyDescent="0.25">
      <c r="B145" s="192" t="s">
        <v>110</v>
      </c>
      <c r="C145" s="192"/>
      <c r="D145" s="192"/>
      <c r="E145" s="193"/>
      <c r="F145" s="193"/>
    </row>
    <row r="146" spans="2:8" x14ac:dyDescent="0.25">
      <c r="B146" s="192" t="s">
        <v>111</v>
      </c>
      <c r="C146" s="192"/>
      <c r="D146" s="192"/>
      <c r="E146" s="193"/>
      <c r="F146" s="193"/>
    </row>
    <row r="147" spans="2:8" x14ac:dyDescent="0.25">
      <c r="B147" s="192" t="s">
        <v>112</v>
      </c>
      <c r="C147" s="192"/>
      <c r="D147" s="192"/>
      <c r="E147" s="193"/>
      <c r="F147" s="193"/>
    </row>
    <row r="148" spans="2:8" x14ac:dyDescent="0.25">
      <c r="B148" s="192" t="s">
        <v>113</v>
      </c>
      <c r="C148" s="192"/>
      <c r="D148" s="192"/>
      <c r="E148" s="193"/>
      <c r="F148" s="193"/>
    </row>
    <row r="150" spans="2:8" x14ac:dyDescent="0.25">
      <c r="B150" s="177" t="s">
        <v>114</v>
      </c>
      <c r="C150" s="178"/>
      <c r="D150" s="179"/>
      <c r="E150" s="193"/>
      <c r="F150" s="193"/>
    </row>
    <row r="152" spans="2:8" hidden="1" x14ac:dyDescent="0.25">
      <c r="B152" s="181" t="s">
        <v>123</v>
      </c>
      <c r="C152" s="183"/>
      <c r="D152" s="88" t="s">
        <v>124</v>
      </c>
      <c r="E152" s="176" t="s">
        <v>122</v>
      </c>
      <c r="F152" s="176"/>
    </row>
    <row r="153" spans="2:8" hidden="1" x14ac:dyDescent="0.25">
      <c r="B153" s="181" t="s">
        <v>125</v>
      </c>
      <c r="C153" s="183"/>
      <c r="D153" s="88" t="s">
        <v>126</v>
      </c>
      <c r="E153" s="176" t="s">
        <v>122</v>
      </c>
      <c r="F153" s="176"/>
    </row>
    <row r="154" spans="2:8" ht="30" hidden="1" customHeight="1" x14ac:dyDescent="0.25">
      <c r="B154" s="174" t="s">
        <v>127</v>
      </c>
      <c r="C154" s="175"/>
      <c r="D154" s="88" t="s">
        <v>128</v>
      </c>
      <c r="E154" s="176" t="s">
        <v>122</v>
      </c>
      <c r="F154" s="176"/>
    </row>
    <row r="155" spans="2:8" ht="30" hidden="1" customHeight="1" x14ac:dyDescent="0.25">
      <c r="B155" s="174" t="s">
        <v>129</v>
      </c>
      <c r="C155" s="175"/>
      <c r="D155" s="88" t="s">
        <v>130</v>
      </c>
      <c r="E155" s="176"/>
      <c r="F155" s="176"/>
    </row>
    <row r="156" spans="2:8" ht="30" hidden="1" x14ac:dyDescent="0.25">
      <c r="B156" s="174" t="s">
        <v>131</v>
      </c>
      <c r="C156" s="175"/>
      <c r="D156" s="24" t="s">
        <v>132</v>
      </c>
      <c r="E156" s="176" t="s">
        <v>133</v>
      </c>
      <c r="F156" s="176"/>
    </row>
    <row r="157" spans="2:8" hidden="1" x14ac:dyDescent="0.25">
      <c r="B157" s="181" t="s">
        <v>134</v>
      </c>
      <c r="C157" s="183"/>
      <c r="D157" s="10" t="s">
        <v>135</v>
      </c>
      <c r="E157" s="176"/>
      <c r="F157" s="176"/>
    </row>
    <row r="158" spans="2:8" ht="30" hidden="1" customHeight="1" x14ac:dyDescent="0.25">
      <c r="B158" s="174" t="s">
        <v>136</v>
      </c>
      <c r="C158" s="175"/>
      <c r="D158" s="10" t="s">
        <v>137</v>
      </c>
      <c r="E158" s="176"/>
      <c r="F158" s="176"/>
    </row>
    <row r="159" spans="2:8" ht="30" hidden="1" customHeight="1" x14ac:dyDescent="0.25">
      <c r="B159" s="174" t="s">
        <v>138</v>
      </c>
      <c r="C159" s="175"/>
      <c r="D159" s="88" t="s">
        <v>139</v>
      </c>
      <c r="E159" s="176"/>
      <c r="F159" s="176"/>
    </row>
    <row r="160" spans="2:8" x14ac:dyDescent="0.25">
      <c r="B160" s="177" t="s">
        <v>74</v>
      </c>
      <c r="C160" s="178"/>
      <c r="D160" s="179"/>
      <c r="E160" s="180">
        <v>1520</v>
      </c>
      <c r="F160" s="180"/>
      <c r="G160" s="25"/>
      <c r="H160" s="25"/>
    </row>
    <row r="161" spans="1:8" x14ac:dyDescent="0.25">
      <c r="B161" s="181" t="s">
        <v>75</v>
      </c>
      <c r="C161" s="182"/>
      <c r="D161" s="183"/>
      <c r="E161" s="176"/>
      <c r="F161" s="176"/>
      <c r="G161" s="26"/>
      <c r="H161" s="26"/>
    </row>
    <row r="162" spans="1:8" x14ac:dyDescent="0.25">
      <c r="B162" s="181" t="s">
        <v>76</v>
      </c>
      <c r="C162" s="182"/>
      <c r="D162" s="183"/>
      <c r="E162" s="184">
        <v>320</v>
      </c>
      <c r="F162" s="184"/>
      <c r="G162" s="27"/>
      <c r="H162" s="27"/>
    </row>
    <row r="163" spans="1:8" x14ac:dyDescent="0.25">
      <c r="B163" s="181" t="s">
        <v>77</v>
      </c>
      <c r="C163" s="182"/>
      <c r="D163" s="183"/>
      <c r="E163" s="184"/>
      <c r="F163" s="184"/>
      <c r="G163" s="27"/>
      <c r="H163" s="27"/>
    </row>
    <row r="164" spans="1:8" x14ac:dyDescent="0.25">
      <c r="B164" s="177" t="s">
        <v>78</v>
      </c>
      <c r="C164" s="178"/>
      <c r="D164" s="179"/>
      <c r="E164" s="180"/>
      <c r="F164" s="180"/>
      <c r="G164" s="25"/>
      <c r="H164" s="25"/>
    </row>
    <row r="165" spans="1:8" x14ac:dyDescent="0.25">
      <c r="B165" s="181" t="s">
        <v>79</v>
      </c>
      <c r="C165" s="182"/>
      <c r="D165" s="183"/>
      <c r="E165" s="184">
        <v>3240</v>
      </c>
      <c r="F165" s="184"/>
      <c r="G165" s="27"/>
      <c r="H165" s="27"/>
    </row>
    <row r="166" spans="1:8" x14ac:dyDescent="0.25">
      <c r="B166" s="177" t="s">
        <v>80</v>
      </c>
      <c r="C166" s="178"/>
      <c r="D166" s="179"/>
      <c r="E166" s="184"/>
      <c r="F166" s="184"/>
      <c r="G166" s="27"/>
      <c r="H166" s="27"/>
    </row>
    <row r="167" spans="1:8" x14ac:dyDescent="0.25">
      <c r="B167" s="16"/>
      <c r="C167" s="16"/>
      <c r="D167" s="16"/>
      <c r="E167" s="17"/>
      <c r="F167" s="17"/>
      <c r="G167" s="17"/>
      <c r="H167" s="17"/>
    </row>
    <row r="168" spans="1:8" ht="36" customHeight="1" x14ac:dyDescent="0.25">
      <c r="B168" s="185" t="s">
        <v>115</v>
      </c>
      <c r="C168" s="186"/>
      <c r="D168" s="186"/>
      <c r="E168" s="186"/>
      <c r="F168" s="21" t="s">
        <v>116</v>
      </c>
    </row>
    <row r="169" spans="1:8" ht="14.45" customHeight="1" x14ac:dyDescent="0.25">
      <c r="B169" s="187" t="s">
        <v>117</v>
      </c>
      <c r="C169" s="188" t="s">
        <v>118</v>
      </c>
      <c r="D169" s="190" t="s">
        <v>119</v>
      </c>
      <c r="E169" s="191"/>
      <c r="F169" s="4"/>
    </row>
    <row r="170" spans="1:8" x14ac:dyDescent="0.25">
      <c r="B170" s="187"/>
      <c r="C170" s="189"/>
      <c r="D170" s="83" t="s">
        <v>120</v>
      </c>
      <c r="E170" s="83" t="s">
        <v>121</v>
      </c>
      <c r="F170" s="4"/>
    </row>
    <row r="171" spans="1:8" x14ac:dyDescent="0.25">
      <c r="B171" s="115"/>
      <c r="C171" s="124"/>
      <c r="D171" s="115"/>
      <c r="E171" s="115"/>
      <c r="F171" s="4"/>
    </row>
    <row r="172" spans="1:8" x14ac:dyDescent="0.25">
      <c r="B172" s="115"/>
      <c r="C172" s="115"/>
      <c r="D172" s="115"/>
      <c r="E172" s="115"/>
      <c r="F172" s="4"/>
    </row>
    <row r="173" spans="1:8" x14ac:dyDescent="0.25">
      <c r="A173" s="121"/>
      <c r="B173" s="120"/>
      <c r="C173" s="120"/>
      <c r="D173" s="121"/>
      <c r="E173" s="121"/>
      <c r="F173" s="121"/>
    </row>
    <row r="174" spans="1:8" x14ac:dyDescent="0.25">
      <c r="A174" s="121"/>
      <c r="B174" s="120" t="s">
        <v>247</v>
      </c>
      <c r="C174" s="120"/>
      <c r="D174" s="121" t="s">
        <v>248</v>
      </c>
      <c r="E174" s="121"/>
      <c r="F174" s="121"/>
    </row>
  </sheetData>
  <mergeCells count="182">
    <mergeCell ref="B165:D165"/>
    <mergeCell ref="E165:F165"/>
    <mergeCell ref="B166:D166"/>
    <mergeCell ref="E166:F166"/>
    <mergeCell ref="B168:E168"/>
    <mergeCell ref="B169:B170"/>
    <mergeCell ref="C169:C170"/>
    <mergeCell ref="D169:E169"/>
    <mergeCell ref="B162:D162"/>
    <mergeCell ref="E162:F162"/>
    <mergeCell ref="B163:D163"/>
    <mergeCell ref="E163:F163"/>
    <mergeCell ref="B164:D164"/>
    <mergeCell ref="E164:F164"/>
    <mergeCell ref="B159:C159"/>
    <mergeCell ref="E159:F159"/>
    <mergeCell ref="B160:D160"/>
    <mergeCell ref="E160:F160"/>
    <mergeCell ref="B161:D161"/>
    <mergeCell ref="E161:F161"/>
    <mergeCell ref="B156:C156"/>
    <mergeCell ref="E156:F156"/>
    <mergeCell ref="B157:C157"/>
    <mergeCell ref="E157:F157"/>
    <mergeCell ref="B158:C158"/>
    <mergeCell ref="E158:F158"/>
    <mergeCell ref="B153:C153"/>
    <mergeCell ref="E153:F153"/>
    <mergeCell ref="B154:C154"/>
    <mergeCell ref="E154:F154"/>
    <mergeCell ref="B155:C155"/>
    <mergeCell ref="E155:F155"/>
    <mergeCell ref="B148:D148"/>
    <mergeCell ref="E148:F148"/>
    <mergeCell ref="B150:D150"/>
    <mergeCell ref="E150:F150"/>
    <mergeCell ref="B152:C152"/>
    <mergeCell ref="E152:F152"/>
    <mergeCell ref="B145:D145"/>
    <mergeCell ref="E145:F145"/>
    <mergeCell ref="B146:D146"/>
    <mergeCell ref="E146:F146"/>
    <mergeCell ref="B147:D147"/>
    <mergeCell ref="E147:F147"/>
    <mergeCell ref="G109:G110"/>
    <mergeCell ref="H109:H110"/>
    <mergeCell ref="B142:D142"/>
    <mergeCell ref="E142:F142"/>
    <mergeCell ref="B144:D144"/>
    <mergeCell ref="E144:F144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B102:C102"/>
    <mergeCell ref="B103:C103"/>
    <mergeCell ref="B105:C105"/>
    <mergeCell ref="B106:C106"/>
    <mergeCell ref="B108:F108"/>
    <mergeCell ref="B109:B110"/>
    <mergeCell ref="C109:D109"/>
    <mergeCell ref="E109:E110"/>
    <mergeCell ref="F109:F110"/>
    <mergeCell ref="B96:C96"/>
    <mergeCell ref="B97:C97"/>
    <mergeCell ref="B98:C98"/>
    <mergeCell ref="B99:C99"/>
    <mergeCell ref="B100:C100"/>
    <mergeCell ref="B101:C101"/>
    <mergeCell ref="B94:G94"/>
    <mergeCell ref="B95:C95"/>
    <mergeCell ref="B92:C92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C133:D133"/>
    <mergeCell ref="C134:D134"/>
    <mergeCell ref="C135:D135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1" max="7" man="1"/>
    <brk id="1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3"/>
  <sheetViews>
    <sheetView view="pageBreakPreview" topLeftCell="A9" zoomScale="70" zoomScaleSheetLayoutView="70" workbookViewId="0">
      <selection activeCell="E30" sqref="E30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7" width="15.42578125" customWidth="1"/>
    <col min="8" max="8" width="13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186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187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3723.8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3508.4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>
        <v>215.4</v>
      </c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3723.8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162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81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184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76888.97</v>
      </c>
      <c r="E22" s="7">
        <v>76888.97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1317799.8399999999</v>
      </c>
      <c r="E23" s="45">
        <f>E38+D95+C139</f>
        <v>615050.15</v>
      </c>
      <c r="F23" s="7">
        <f>D96+D97+D98+D99+D100+D101+D102+D103</f>
        <v>141755.46</v>
      </c>
      <c r="G23" s="7">
        <f>F110+F111+F112+F113+F114+F115</f>
        <v>560994.23</v>
      </c>
      <c r="H23" s="2"/>
    </row>
    <row r="24" spans="1:8" x14ac:dyDescent="0.25">
      <c r="B24" s="223" t="s">
        <v>24</v>
      </c>
      <c r="C24" s="224"/>
      <c r="D24" s="43">
        <f>E24+F24+G24</f>
        <v>1296106.8900000001</v>
      </c>
      <c r="E24" s="45">
        <f>F38+E95+D137+D138</f>
        <v>625828.49000000011</v>
      </c>
      <c r="F24" s="7">
        <f>E96+E97+E99+E100+E103+E98+E101+E102</f>
        <v>149648.9</v>
      </c>
      <c r="G24" s="7">
        <f>G116</f>
        <v>520629.5</v>
      </c>
      <c r="H24" s="2"/>
    </row>
    <row r="25" spans="1:8" x14ac:dyDescent="0.25">
      <c r="B25" s="223" t="s">
        <v>25</v>
      </c>
      <c r="C25" s="224"/>
      <c r="D25" s="7">
        <f>E25+F25+G25</f>
        <v>1327309.58</v>
      </c>
      <c r="E25" s="7">
        <f>D139+580273.9</f>
        <v>657031.18000000005</v>
      </c>
      <c r="F25" s="7">
        <f>F24</f>
        <v>149648.9</v>
      </c>
      <c r="G25" s="7">
        <f>G24</f>
        <v>520629.5</v>
      </c>
      <c r="H25" s="2"/>
    </row>
    <row r="26" spans="1:8" x14ac:dyDescent="0.25">
      <c r="B26" s="223" t="s">
        <v>253</v>
      </c>
      <c r="C26" s="224"/>
      <c r="D26" s="7">
        <f>E26+F26+G26</f>
        <v>309380.63</v>
      </c>
      <c r="E26" s="45">
        <f>G38+G95+F139</f>
        <v>85954.260000000009</v>
      </c>
      <c r="F26" s="45">
        <f>G104-G95</f>
        <v>38928.75</v>
      </c>
      <c r="G26" s="45">
        <f>H116</f>
        <v>184497.62000000002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65087.75</v>
      </c>
      <c r="F31" s="40">
        <v>67556.44</v>
      </c>
      <c r="G31" s="88">
        <f>12636.73-5779.82</f>
        <v>6856.91</v>
      </c>
      <c r="H31" s="5"/>
    </row>
    <row r="32" spans="1:8" x14ac:dyDescent="0.25">
      <c r="B32" s="174" t="s">
        <v>34</v>
      </c>
      <c r="C32" s="212"/>
      <c r="D32" s="175"/>
      <c r="E32" s="88">
        <v>83327.960000000006</v>
      </c>
      <c r="F32" s="40">
        <v>86903.5</v>
      </c>
      <c r="G32" s="88">
        <f>16616.23-7517.4</f>
        <v>9098.83</v>
      </c>
      <c r="H32" s="5"/>
    </row>
    <row r="33" spans="2:8" x14ac:dyDescent="0.25">
      <c r="B33" s="174" t="s">
        <v>35</v>
      </c>
      <c r="C33" s="212"/>
      <c r="D33" s="175"/>
      <c r="E33" s="88">
        <v>52406.21</v>
      </c>
      <c r="F33" s="40">
        <v>54589.88</v>
      </c>
      <c r="G33" s="88">
        <f>10548-4645.04</f>
        <v>5902.96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125786.86</v>
      </c>
      <c r="F35" s="40">
        <v>130470.2</v>
      </c>
      <c r="G35" s="88">
        <f>25150.79-11357.85</f>
        <v>13792.94</v>
      </c>
      <c r="H35" s="5"/>
    </row>
    <row r="36" spans="2:8" x14ac:dyDescent="0.25">
      <c r="B36" s="174" t="s">
        <v>38</v>
      </c>
      <c r="C36" s="212"/>
      <c r="D36" s="175"/>
      <c r="E36" s="88">
        <v>88800.75</v>
      </c>
      <c r="F36" s="40">
        <f>90089.21+2675.79</f>
        <v>92765</v>
      </c>
      <c r="G36" s="88">
        <f>13784.85+1381.78+3960.45-9532.92</f>
        <v>9594.1600000000017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85985.21</v>
      </c>
      <c r="F37" s="40">
        <f>87572.41+2007.25</f>
        <v>89579.66</v>
      </c>
      <c r="G37" s="88">
        <f>13600.16+3932.32-7671.02</f>
        <v>9861.4599999999991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501394.74000000005</v>
      </c>
      <c r="F38" s="41">
        <f>SUM(F31:F37)</f>
        <v>521864.68000000005</v>
      </c>
      <c r="G38" s="41">
        <f>SUM(G31:G37)</f>
        <v>55107.26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200366.96000000002</v>
      </c>
      <c r="G44" s="123"/>
      <c r="H44" s="123">
        <f>H45+H46+H47</f>
        <v>110805.48000000001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v>64835</v>
      </c>
      <c r="G45" s="112"/>
      <c r="H45" s="105">
        <f>35145.9-9143.09</f>
        <v>26002.81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f>E32</f>
        <v>83327.960000000006</v>
      </c>
      <c r="G46" s="112"/>
      <c r="H46" s="105">
        <f>43841.4-11681.81</f>
        <v>32159.590000000004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v>52204</v>
      </c>
      <c r="G47" s="112"/>
      <c r="H47" s="105">
        <f>60048.4-7405.32</f>
        <v>52643.08</v>
      </c>
    </row>
    <row r="48" spans="2:8" hidden="1" x14ac:dyDescent="0.25">
      <c r="B48" s="174" t="s">
        <v>36</v>
      </c>
      <c r="C48" s="175"/>
      <c r="D48" s="88"/>
      <c r="E48" s="10"/>
      <c r="F48" s="14"/>
      <c r="G48" s="10"/>
      <c r="H48" s="14"/>
    </row>
    <row r="49" spans="2:8" x14ac:dyDescent="0.25">
      <c r="B49" s="202" t="s">
        <v>65</v>
      </c>
      <c r="C49" s="203"/>
      <c r="D49" s="88"/>
      <c r="E49" s="10"/>
      <c r="F49" s="11"/>
      <c r="G49" s="10"/>
      <c r="H49" s="11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268</v>
      </c>
      <c r="F51" s="151">
        <f>8952.85</f>
        <v>8952.85</v>
      </c>
      <c r="G51" s="150" t="s">
        <v>268</v>
      </c>
      <c r="H51" s="151">
        <f>8952.85</f>
        <v>8952.85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2141</v>
      </c>
      <c r="G52" s="149" t="s">
        <v>267</v>
      </c>
      <c r="H52" s="152">
        <v>2464.6799999999998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957+3421.39</f>
        <v>4378.3899999999994</v>
      </c>
      <c r="G53" s="149" t="s">
        <v>267</v>
      </c>
      <c r="H53" s="152">
        <f>849.26+3290.23</f>
        <v>4139.49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ht="16.5" customHeight="1" x14ac:dyDescent="0.25">
      <c r="B55" s="239" t="s">
        <v>274</v>
      </c>
      <c r="C55" s="240"/>
      <c r="D55" s="108" t="s">
        <v>272</v>
      </c>
      <c r="E55" s="155"/>
      <c r="F55" s="156"/>
      <c r="G55" s="155"/>
      <c r="H55" s="156"/>
    </row>
    <row r="56" spans="2:8" ht="16.5" customHeight="1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ht="16.5" customHeight="1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ht="16.5" customHeight="1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ht="16.5" customHeight="1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ht="16.5" customHeight="1" x14ac:dyDescent="0.25">
      <c r="B60" s="208" t="s">
        <v>69</v>
      </c>
      <c r="C60" s="209"/>
      <c r="D60" s="108" t="s">
        <v>272</v>
      </c>
      <c r="E60" s="161" t="s">
        <v>333</v>
      </c>
      <c r="F60" s="152">
        <v>216660</v>
      </c>
      <c r="G60" s="161" t="s">
        <v>333</v>
      </c>
      <c r="H60" s="152">
        <v>216660</v>
      </c>
    </row>
    <row r="61" spans="2:8" ht="16.5" customHeight="1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ht="16.5" customHeight="1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ht="16.5" customHeight="1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ht="16.5" customHeight="1" x14ac:dyDescent="0.25">
      <c r="B64" s="243" t="s">
        <v>50</v>
      </c>
      <c r="C64" s="244"/>
      <c r="D64" s="108"/>
      <c r="E64" s="108"/>
      <c r="F64" s="162"/>
      <c r="G64" s="163"/>
      <c r="H64" s="162"/>
    </row>
    <row r="65" spans="2:8" ht="43.5" customHeight="1" x14ac:dyDescent="0.25">
      <c r="B65" s="208" t="s">
        <v>51</v>
      </c>
      <c r="C65" s="209"/>
      <c r="D65" s="153" t="s">
        <v>284</v>
      </c>
      <c r="E65" s="108"/>
      <c r="F65" s="154"/>
      <c r="G65" s="108" t="s">
        <v>271</v>
      </c>
      <c r="H65" s="154"/>
    </row>
    <row r="66" spans="2:8" ht="43.5" customHeight="1" x14ac:dyDescent="0.25">
      <c r="B66" s="208" t="s">
        <v>52</v>
      </c>
      <c r="C66" s="209"/>
      <c r="D66" s="108" t="s">
        <v>285</v>
      </c>
      <c r="E66" s="108"/>
      <c r="F66" s="154"/>
      <c r="G66" s="108" t="s">
        <v>271</v>
      </c>
      <c r="H66" s="154"/>
    </row>
    <row r="67" spans="2:8" ht="41.25" customHeight="1" x14ac:dyDescent="0.25">
      <c r="B67" s="208" t="s">
        <v>53</v>
      </c>
      <c r="C67" s="209"/>
      <c r="D67" s="108" t="s">
        <v>286</v>
      </c>
      <c r="E67" s="108"/>
      <c r="F67" s="154"/>
      <c r="G67" s="108" t="s">
        <v>271</v>
      </c>
      <c r="H67" s="154"/>
    </row>
    <row r="68" spans="2:8" ht="76.5" customHeight="1" x14ac:dyDescent="0.25">
      <c r="B68" s="208" t="s">
        <v>54</v>
      </c>
      <c r="C68" s="209"/>
      <c r="D68" s="150" t="s">
        <v>266</v>
      </c>
      <c r="E68" s="150" t="s">
        <v>271</v>
      </c>
      <c r="F68" s="151">
        <v>6694.02</v>
      </c>
      <c r="G68" s="150" t="s">
        <v>271</v>
      </c>
      <c r="H68" s="151">
        <v>6448.51</v>
      </c>
    </row>
    <row r="69" spans="2:8" ht="16.5" customHeight="1" x14ac:dyDescent="0.25">
      <c r="B69" s="208" t="s">
        <v>55</v>
      </c>
      <c r="C69" s="209"/>
      <c r="D69" s="108" t="s">
        <v>266</v>
      </c>
      <c r="E69" s="108" t="s">
        <v>334</v>
      </c>
      <c r="F69" s="152">
        <v>6468</v>
      </c>
      <c r="G69" s="108"/>
      <c r="H69" s="152"/>
    </row>
    <row r="70" spans="2:8" ht="16.5" customHeight="1" x14ac:dyDescent="0.25">
      <c r="B70" s="208" t="s">
        <v>56</v>
      </c>
      <c r="C70" s="209"/>
      <c r="D70" s="108" t="s">
        <v>266</v>
      </c>
      <c r="E70" s="108" t="s">
        <v>271</v>
      </c>
      <c r="F70" s="152">
        <v>14627.19</v>
      </c>
      <c r="G70" s="108" t="s">
        <v>271</v>
      </c>
      <c r="H70" s="152">
        <v>14627.19</v>
      </c>
    </row>
    <row r="71" spans="2:8" x14ac:dyDescent="0.25">
      <c r="B71" s="208" t="s">
        <v>57</v>
      </c>
      <c r="C71" s="209"/>
      <c r="D71" s="108" t="s">
        <v>266</v>
      </c>
      <c r="E71" s="108"/>
      <c r="F71" s="154"/>
      <c r="G71" s="108" t="s">
        <v>271</v>
      </c>
      <c r="H71" s="154"/>
    </row>
    <row r="72" spans="2:8" x14ac:dyDescent="0.25">
      <c r="B72" s="208" t="s">
        <v>58</v>
      </c>
      <c r="C72" s="209"/>
      <c r="D72" s="108" t="s">
        <v>266</v>
      </c>
      <c r="E72" s="108"/>
      <c r="F72" s="164"/>
      <c r="G72" s="108" t="s">
        <v>271</v>
      </c>
      <c r="H72" s="164"/>
    </row>
    <row r="73" spans="2:8" x14ac:dyDescent="0.25">
      <c r="B73" s="208" t="s">
        <v>282</v>
      </c>
      <c r="C73" s="209"/>
      <c r="D73" s="108"/>
      <c r="E73" s="108"/>
      <c r="F73" s="154"/>
      <c r="G73" s="108"/>
      <c r="H73" s="154"/>
    </row>
    <row r="74" spans="2:8" x14ac:dyDescent="0.25">
      <c r="B74" s="243" t="s">
        <v>59</v>
      </c>
      <c r="C74" s="244"/>
      <c r="D74" s="108"/>
      <c r="E74" s="108"/>
      <c r="F74" s="162"/>
      <c r="G74" s="108"/>
      <c r="H74" s="162"/>
    </row>
    <row r="75" spans="2:8" ht="40.5" customHeight="1" x14ac:dyDescent="0.25">
      <c r="B75" s="208" t="s">
        <v>60</v>
      </c>
      <c r="C75" s="209"/>
      <c r="D75" s="108" t="s">
        <v>272</v>
      </c>
      <c r="E75" s="108"/>
      <c r="F75" s="154"/>
      <c r="G75" s="108" t="s">
        <v>271</v>
      </c>
      <c r="H75" s="154"/>
    </row>
    <row r="76" spans="2:8" ht="42.75" customHeight="1" x14ac:dyDescent="0.25">
      <c r="B76" s="208" t="s">
        <v>61</v>
      </c>
      <c r="C76" s="209"/>
      <c r="D76" s="108" t="s">
        <v>270</v>
      </c>
      <c r="E76" s="108"/>
      <c r="F76" s="154"/>
      <c r="G76" s="108" t="s">
        <v>271</v>
      </c>
      <c r="H76" s="154"/>
    </row>
    <row r="77" spans="2:8" ht="71.25" customHeight="1" x14ac:dyDescent="0.25">
      <c r="B77" s="208" t="s">
        <v>62</v>
      </c>
      <c r="C77" s="209"/>
      <c r="D77" s="150" t="s">
        <v>266</v>
      </c>
      <c r="E77" s="150" t="s">
        <v>271</v>
      </c>
      <c r="F77" s="151">
        <f>7167.34+5057.71+3516.05</f>
        <v>15741.099999999999</v>
      </c>
      <c r="G77" s="150" t="s">
        <v>271</v>
      </c>
      <c r="H77" s="151">
        <f>7234.95+5064.47+3545.13</f>
        <v>15844.55</v>
      </c>
    </row>
    <row r="78" spans="2:8" x14ac:dyDescent="0.25">
      <c r="B78" s="208" t="s">
        <v>290</v>
      </c>
      <c r="C78" s="209"/>
      <c r="D78" s="108" t="s">
        <v>291</v>
      </c>
      <c r="E78" s="161" t="s">
        <v>335</v>
      </c>
      <c r="F78" s="152">
        <f>22484+6653.45</f>
        <v>29137.45</v>
      </c>
      <c r="G78" s="108" t="s">
        <v>336</v>
      </c>
      <c r="H78" s="152">
        <f>3096.31+3062.67+2158.84</f>
        <v>8317.82</v>
      </c>
    </row>
    <row r="79" spans="2:8" x14ac:dyDescent="0.25">
      <c r="B79" s="208" t="s">
        <v>282</v>
      </c>
      <c r="C79" s="209"/>
      <c r="D79" s="108"/>
      <c r="E79" s="108"/>
      <c r="F79" s="154"/>
      <c r="G79" s="108"/>
      <c r="H79" s="152"/>
    </row>
    <row r="80" spans="2:8" x14ac:dyDescent="0.25">
      <c r="B80" s="243" t="s">
        <v>63</v>
      </c>
      <c r="C80" s="244"/>
      <c r="D80" s="153"/>
      <c r="E80" s="108" t="s">
        <v>271</v>
      </c>
      <c r="F80" s="152">
        <v>13236.8</v>
      </c>
      <c r="G80" s="108" t="s">
        <v>271</v>
      </c>
      <c r="H80" s="152">
        <v>13236.8</v>
      </c>
    </row>
    <row r="81" spans="2:11" ht="20.25" customHeight="1" x14ac:dyDescent="0.25">
      <c r="B81" s="243" t="s">
        <v>64</v>
      </c>
      <c r="C81" s="244"/>
      <c r="D81" s="108"/>
      <c r="E81" s="108" t="s">
        <v>271</v>
      </c>
      <c r="F81" s="152">
        <v>11224.32</v>
      </c>
      <c r="G81" s="108" t="s">
        <v>271</v>
      </c>
      <c r="H81" s="152">
        <v>10975.93</v>
      </c>
    </row>
    <row r="82" spans="2:11" ht="15.75" customHeight="1" x14ac:dyDescent="0.25">
      <c r="B82" s="243" t="s">
        <v>294</v>
      </c>
      <c r="C82" s="244"/>
      <c r="D82" s="108"/>
      <c r="E82" s="108"/>
      <c r="F82" s="162"/>
      <c r="G82" s="163"/>
      <c r="H82" s="162"/>
    </row>
    <row r="83" spans="2:11" ht="20.25" customHeight="1" x14ac:dyDescent="0.25">
      <c r="B83" s="208" t="s">
        <v>295</v>
      </c>
      <c r="C83" s="209"/>
      <c r="D83" s="153" t="s">
        <v>296</v>
      </c>
      <c r="E83" s="108"/>
      <c r="F83" s="152"/>
      <c r="G83" s="108"/>
      <c r="H83" s="152"/>
    </row>
    <row r="84" spans="2:11" ht="21.75" customHeight="1" x14ac:dyDescent="0.25">
      <c r="B84" s="208" t="s">
        <v>71</v>
      </c>
      <c r="C84" s="209"/>
      <c r="D84" s="153" t="s">
        <v>297</v>
      </c>
      <c r="E84" s="108"/>
      <c r="F84" s="152"/>
      <c r="G84" s="108"/>
      <c r="H84" s="152"/>
    </row>
    <row r="85" spans="2:11" x14ac:dyDescent="0.25">
      <c r="B85" s="208" t="s">
        <v>72</v>
      </c>
      <c r="C85" s="209"/>
      <c r="D85" s="108" t="s">
        <v>299</v>
      </c>
      <c r="E85" s="108" t="s">
        <v>337</v>
      </c>
      <c r="F85" s="152">
        <v>1589.26</v>
      </c>
      <c r="G85" s="108" t="s">
        <v>337</v>
      </c>
      <c r="H85" s="152">
        <v>1589.26</v>
      </c>
    </row>
    <row r="86" spans="2:11" x14ac:dyDescent="0.25">
      <c r="B86" s="208" t="s">
        <v>301</v>
      </c>
      <c r="C86" s="209"/>
      <c r="D86" s="108" t="s">
        <v>291</v>
      </c>
      <c r="E86" s="108" t="s">
        <v>271</v>
      </c>
      <c r="F86" s="152">
        <v>12502.27</v>
      </c>
      <c r="G86" s="108" t="s">
        <v>271</v>
      </c>
      <c r="H86" s="161">
        <v>12502.27</v>
      </c>
    </row>
    <row r="87" spans="2:11" x14ac:dyDescent="0.25">
      <c r="B87" s="208" t="s">
        <v>282</v>
      </c>
      <c r="C87" s="209"/>
      <c r="D87" s="108"/>
      <c r="E87" s="108"/>
      <c r="F87" s="154"/>
      <c r="G87" s="108"/>
      <c r="H87" s="154"/>
    </row>
    <row r="88" spans="2:11" x14ac:dyDescent="0.25">
      <c r="B88" s="208" t="s">
        <v>302</v>
      </c>
      <c r="C88" s="209"/>
      <c r="D88" s="108" t="s">
        <v>291</v>
      </c>
      <c r="E88" s="108" t="s">
        <v>338</v>
      </c>
      <c r="F88" s="152">
        <v>5544.54</v>
      </c>
      <c r="G88" s="108" t="s">
        <v>338</v>
      </c>
      <c r="H88" s="152">
        <v>4561.18</v>
      </c>
      <c r="K88" s="5"/>
    </row>
    <row r="89" spans="2:11" x14ac:dyDescent="0.25">
      <c r="B89" s="208" t="s">
        <v>311</v>
      </c>
      <c r="C89" s="209"/>
      <c r="D89" s="108"/>
      <c r="E89" s="108" t="s">
        <v>339</v>
      </c>
      <c r="F89" s="152">
        <v>4860</v>
      </c>
      <c r="G89" s="108" t="s">
        <v>339</v>
      </c>
      <c r="H89" s="152">
        <v>4860</v>
      </c>
    </row>
    <row r="90" spans="2:11" ht="36.75" customHeight="1" x14ac:dyDescent="0.25">
      <c r="B90" s="208" t="s">
        <v>320</v>
      </c>
      <c r="C90" s="209"/>
      <c r="D90" s="108"/>
      <c r="E90" s="108"/>
      <c r="F90" s="152">
        <v>71494.42</v>
      </c>
      <c r="G90" s="108"/>
      <c r="H90" s="152">
        <v>71494.42</v>
      </c>
    </row>
    <row r="91" spans="2:11" ht="20.25" customHeight="1" x14ac:dyDescent="0.25">
      <c r="B91" s="206" t="s">
        <v>73</v>
      </c>
      <c r="C91" s="207"/>
      <c r="D91" s="108"/>
      <c r="E91" s="108"/>
      <c r="F91" s="165">
        <v>538100</v>
      </c>
      <c r="G91" s="165"/>
      <c r="H91" s="165">
        <f>580273.9-45574.2</f>
        <v>534699.70000000007</v>
      </c>
    </row>
    <row r="92" spans="2:11" x14ac:dyDescent="0.25">
      <c r="B92" s="9"/>
      <c r="C92" s="9"/>
      <c r="D92" s="5"/>
      <c r="E92" s="5"/>
      <c r="F92" s="15"/>
      <c r="G92" s="5"/>
      <c r="H92" s="15"/>
    </row>
    <row r="93" spans="2:11" x14ac:dyDescent="0.25">
      <c r="B93" s="201" t="s">
        <v>177</v>
      </c>
      <c r="C93" s="201"/>
      <c r="D93" s="201"/>
      <c r="E93" s="201"/>
      <c r="F93" s="201"/>
      <c r="G93" s="201"/>
    </row>
    <row r="94" spans="2:11" ht="63" customHeight="1" x14ac:dyDescent="0.25">
      <c r="B94" s="194" t="s">
        <v>29</v>
      </c>
      <c r="C94" s="194"/>
      <c r="D94" s="91" t="s">
        <v>30</v>
      </c>
      <c r="E94" s="91" t="s">
        <v>31</v>
      </c>
      <c r="F94" s="89" t="s">
        <v>82</v>
      </c>
      <c r="G94" s="89" t="s">
        <v>32</v>
      </c>
    </row>
    <row r="95" spans="2:11" x14ac:dyDescent="0.25">
      <c r="B95" s="181" t="s">
        <v>83</v>
      </c>
      <c r="C95" s="183"/>
      <c r="D95" s="88">
        <v>39787.53</v>
      </c>
      <c r="E95" s="88">
        <v>27206.53</v>
      </c>
      <c r="F95" s="88">
        <f>E95</f>
        <v>27206.53</v>
      </c>
      <c r="G95" s="85">
        <f>19733.52-9570.17</f>
        <v>10163.35</v>
      </c>
    </row>
    <row r="96" spans="2:11" x14ac:dyDescent="0.25">
      <c r="B96" s="181" t="s">
        <v>84</v>
      </c>
      <c r="C96" s="183"/>
      <c r="D96" s="88">
        <f>19877.9-1316.58+5383.76-408.51+6146.2-314.45+10548.45</f>
        <v>39916.770000000004</v>
      </c>
      <c r="E96" s="88">
        <f>20322.93+5554.19+6174.69+10921.5</f>
        <v>42973.31</v>
      </c>
      <c r="F96" s="88">
        <f t="shared" ref="F96:F103" si="0">E96</f>
        <v>42973.31</v>
      </c>
      <c r="G96" s="85">
        <f>9281.51+2407.07+2391.17-4931.15+25.55-1335.56+6.92-1524.7+7.9+667.93</f>
        <v>6996.64</v>
      </c>
    </row>
    <row r="97" spans="2:8" ht="30" customHeight="1" x14ac:dyDescent="0.25">
      <c r="B97" s="174" t="s">
        <v>85</v>
      </c>
      <c r="C97" s="175"/>
      <c r="D97" s="88">
        <v>13405.68</v>
      </c>
      <c r="E97" s="88">
        <v>13823.99</v>
      </c>
      <c r="F97" s="88">
        <f t="shared" si="0"/>
        <v>13823.99</v>
      </c>
      <c r="G97" s="85">
        <f>6917.06-3351.42</f>
        <v>3565.6400000000003</v>
      </c>
    </row>
    <row r="98" spans="2:8" ht="30" customHeight="1" x14ac:dyDescent="0.25">
      <c r="B98" s="174" t="s">
        <v>86</v>
      </c>
      <c r="C98" s="175"/>
      <c r="D98" s="88">
        <v>3425.92</v>
      </c>
      <c r="E98" s="88">
        <v>3547.82</v>
      </c>
      <c r="F98" s="88">
        <f t="shared" si="0"/>
        <v>3547.82</v>
      </c>
      <c r="G98" s="85">
        <f>1652.17-856.48</f>
        <v>795.69</v>
      </c>
    </row>
    <row r="99" spans="2:8" x14ac:dyDescent="0.25">
      <c r="B99" s="174" t="s">
        <v>87</v>
      </c>
      <c r="C99" s="175"/>
      <c r="D99" s="88">
        <v>49601.04</v>
      </c>
      <c r="E99" s="88">
        <f>759.63+49405.99</f>
        <v>50165.619999999995</v>
      </c>
      <c r="F99" s="88">
        <f t="shared" si="0"/>
        <v>50165.619999999995</v>
      </c>
      <c r="G99" s="85">
        <f>5404+21932.04-12400.26</f>
        <v>14935.78</v>
      </c>
    </row>
    <row r="100" spans="2:8" x14ac:dyDescent="0.25">
      <c r="B100" s="174" t="s">
        <v>88</v>
      </c>
      <c r="C100" s="175"/>
      <c r="D100" s="88">
        <v>2383.1999999999998</v>
      </c>
      <c r="E100" s="88">
        <v>2452</v>
      </c>
      <c r="F100" s="88">
        <f t="shared" si="0"/>
        <v>2452</v>
      </c>
      <c r="G100" s="85">
        <f>1342.94-595.8</f>
        <v>747.1400000000001</v>
      </c>
    </row>
    <row r="101" spans="2:8" x14ac:dyDescent="0.25">
      <c r="B101" s="174" t="s">
        <v>150</v>
      </c>
      <c r="C101" s="175"/>
      <c r="D101" s="88">
        <v>10150</v>
      </c>
      <c r="E101" s="88">
        <f>12015.67+22.98</f>
        <v>12038.65</v>
      </c>
      <c r="F101" s="88">
        <f t="shared" si="0"/>
        <v>12038.65</v>
      </c>
      <c r="G101" s="85">
        <f>4516.37+664.83-2520</f>
        <v>2661.2</v>
      </c>
    </row>
    <row r="102" spans="2:8" x14ac:dyDescent="0.25">
      <c r="B102" s="174" t="s">
        <v>89</v>
      </c>
      <c r="C102" s="175"/>
      <c r="D102" s="88">
        <v>8000</v>
      </c>
      <c r="E102" s="88">
        <v>8669.49</v>
      </c>
      <c r="F102" s="88">
        <f t="shared" si="0"/>
        <v>8669.49</v>
      </c>
      <c r="G102" s="85">
        <f>4565.23-2000</f>
        <v>2565.2299999999996</v>
      </c>
    </row>
    <row r="103" spans="2:8" ht="30" x14ac:dyDescent="0.25">
      <c r="B103" s="86" t="s">
        <v>81</v>
      </c>
      <c r="C103" s="87"/>
      <c r="D103" s="88">
        <f>14895.2-22.35</f>
        <v>14872.85</v>
      </c>
      <c r="E103" s="88">
        <f>12651.23+59.78+3204.48+4.48+58.05</f>
        <v>15978.019999999999</v>
      </c>
      <c r="F103" s="88">
        <f t="shared" si="0"/>
        <v>15978.019999999999</v>
      </c>
      <c r="G103" s="85">
        <f>8968.98-24.62+489.52+108.86+842.49-3723.8</f>
        <v>6661.4299999999994</v>
      </c>
    </row>
    <row r="104" spans="2:8" ht="18.75" customHeight="1" x14ac:dyDescent="0.25">
      <c r="B104" s="202" t="s">
        <v>90</v>
      </c>
      <c r="C104" s="203"/>
      <c r="D104" s="90">
        <f>SUM(D95:D103)</f>
        <v>181542.99000000002</v>
      </c>
      <c r="E104" s="90">
        <f>SUM(E95:E103)</f>
        <v>176855.43</v>
      </c>
      <c r="F104" s="88">
        <f>E104</f>
        <v>176855.43</v>
      </c>
      <c r="G104" s="90">
        <f>SUM(G95:G103)</f>
        <v>49092.1</v>
      </c>
    </row>
    <row r="105" spans="2:8" x14ac:dyDescent="0.25">
      <c r="B105" s="202" t="s">
        <v>91</v>
      </c>
      <c r="C105" s="203"/>
      <c r="D105" s="96">
        <f>D104+F116+E38+C139</f>
        <v>1317799.8399999999</v>
      </c>
      <c r="E105" s="96">
        <f>E104+G116+F38+D139</f>
        <v>1296106.8899999999</v>
      </c>
      <c r="F105" s="96">
        <f>E105</f>
        <v>1296106.8899999999</v>
      </c>
      <c r="G105" s="96">
        <f>G38+G104+H116+F139</f>
        <v>309380.63000000006</v>
      </c>
    </row>
    <row r="106" spans="2:8" x14ac:dyDescent="0.25">
      <c r="B106" s="16"/>
      <c r="C106" s="16"/>
      <c r="D106" s="16"/>
      <c r="E106" s="17"/>
      <c r="F106" s="17"/>
      <c r="G106" s="17"/>
      <c r="H106" s="17"/>
    </row>
    <row r="107" spans="2:8" x14ac:dyDescent="0.25">
      <c r="B107" s="204" t="s">
        <v>176</v>
      </c>
      <c r="C107" s="201"/>
      <c r="D107" s="201"/>
      <c r="E107" s="201"/>
      <c r="F107" s="201"/>
    </row>
    <row r="108" spans="2:8" ht="38.25" customHeight="1" x14ac:dyDescent="0.25">
      <c r="B108" s="194" t="s">
        <v>29</v>
      </c>
      <c r="C108" s="194" t="s">
        <v>93</v>
      </c>
      <c r="D108" s="194"/>
      <c r="E108" s="205" t="s">
        <v>94</v>
      </c>
      <c r="F108" s="194" t="s">
        <v>30</v>
      </c>
      <c r="G108" s="194" t="s">
        <v>31</v>
      </c>
      <c r="H108" s="195" t="s">
        <v>95</v>
      </c>
    </row>
    <row r="109" spans="2:8" ht="35.25" customHeight="1" x14ac:dyDescent="0.25">
      <c r="B109" s="194"/>
      <c r="C109" s="91" t="s">
        <v>96</v>
      </c>
      <c r="D109" s="19" t="s">
        <v>97</v>
      </c>
      <c r="E109" s="205"/>
      <c r="F109" s="194"/>
      <c r="G109" s="194"/>
      <c r="H109" s="195"/>
    </row>
    <row r="110" spans="2:8" x14ac:dyDescent="0.25">
      <c r="B110" s="10" t="s">
        <v>98</v>
      </c>
      <c r="C110" s="88">
        <v>1400.08</v>
      </c>
      <c r="D110" s="42">
        <v>1439.26</v>
      </c>
      <c r="E110" s="110">
        <v>180.32</v>
      </c>
      <c r="F110" s="88">
        <f>-1042.68+259513.29-8077.69</f>
        <v>250392.92</v>
      </c>
      <c r="G110" s="88">
        <f>1830.26+138645.93</f>
        <v>140476.19</v>
      </c>
      <c r="H110" s="88">
        <f>-176.53+167042.23-110427.65</f>
        <v>56438.050000000017</v>
      </c>
    </row>
    <row r="111" spans="2:8" x14ac:dyDescent="0.25">
      <c r="B111" s="10" t="s">
        <v>147</v>
      </c>
      <c r="C111" s="88">
        <v>22.15</v>
      </c>
      <c r="D111" s="42">
        <v>26.44</v>
      </c>
      <c r="E111" s="110">
        <v>1058.22</v>
      </c>
      <c r="F111" s="88">
        <f>128449.7-23128.82+9010.45+4827.11+1854.06+1013.09+26028.49-2821.27</f>
        <v>145232.81</v>
      </c>
      <c r="G111" s="88">
        <f>115927.57+9998.55+1904.17+25687.83</f>
        <v>153518.12</v>
      </c>
      <c r="H111" s="88">
        <f>74766.19+5543.58+1219.22+12861.11-33185.73+1557.92-3485.08-418.72-757.3-77.15-7209.78+319</f>
        <v>51133.259999999995</v>
      </c>
    </row>
    <row r="112" spans="2:8" x14ac:dyDescent="0.25">
      <c r="B112" s="10" t="s">
        <v>99</v>
      </c>
      <c r="C112" s="88">
        <v>18.43</v>
      </c>
      <c r="D112" s="42">
        <v>19.22</v>
      </c>
      <c r="E112" s="110">
        <v>1675</v>
      </c>
      <c r="F112" s="88">
        <f>652.67+97.78-10.49+31483.59-4999.56+14.2</f>
        <v>27238.19</v>
      </c>
      <c r="G112" s="88">
        <f>1454.2+117.92+34309.72+14.21</f>
        <v>35896.050000000003</v>
      </c>
      <c r="H112" s="88">
        <f>957.94-57.23+21926.86+1725.47-68.36-7075.8+230.37</f>
        <v>17639.25</v>
      </c>
    </row>
    <row r="113" spans="2:8" x14ac:dyDescent="0.25">
      <c r="B113" s="10" t="s">
        <v>100</v>
      </c>
      <c r="C113" s="88">
        <v>12.31</v>
      </c>
      <c r="D113" s="42">
        <v>12.84</v>
      </c>
      <c r="E113" s="110">
        <v>2664.02</v>
      </c>
      <c r="F113" s="88">
        <f>33775.46-5567.51-123.52</f>
        <v>28084.429999999997</v>
      </c>
      <c r="G113" s="88">
        <f>34775.81+110.55</f>
        <v>34886.36</v>
      </c>
      <c r="H113" s="88">
        <f>23000.18+0.81-8241.09+342.37</f>
        <v>15102.270000000002</v>
      </c>
    </row>
    <row r="114" spans="2:8" x14ac:dyDescent="0.25">
      <c r="B114" s="10" t="s">
        <v>101</v>
      </c>
      <c r="C114" s="88" t="s">
        <v>145</v>
      </c>
      <c r="D114" s="42" t="s">
        <v>146</v>
      </c>
      <c r="E114" s="110">
        <v>71219.009999999995</v>
      </c>
      <c r="F114" s="88">
        <f>20149.24+1545.61-7.84+102854.83-20249.58</f>
        <v>104292.26</v>
      </c>
      <c r="G114" s="88">
        <f>22246.17+120502.37+20.96</f>
        <v>142769.49999999997</v>
      </c>
      <c r="H114" s="88">
        <f>21097.58+48972.13-76.46-4951.42-1972.03-25650.64+4056.87</f>
        <v>41476.029999999992</v>
      </c>
    </row>
    <row r="115" spans="2:8" x14ac:dyDescent="0.25">
      <c r="B115" s="10" t="s">
        <v>102</v>
      </c>
      <c r="C115" s="88">
        <v>2.2999999999999998</v>
      </c>
      <c r="D115" s="42">
        <v>2.39</v>
      </c>
      <c r="E115" s="110">
        <v>4144.97</v>
      </c>
      <c r="F115" s="88">
        <f>10769.36-5015.74</f>
        <v>5753.6200000000008</v>
      </c>
      <c r="G115" s="88">
        <v>13083.28</v>
      </c>
      <c r="H115" s="88">
        <f>5325.46-2636.32+19.62</f>
        <v>2708.7599999999998</v>
      </c>
    </row>
    <row r="116" spans="2:8" x14ac:dyDescent="0.25">
      <c r="B116" s="11" t="s">
        <v>103</v>
      </c>
      <c r="C116" s="90"/>
      <c r="D116" s="42"/>
      <c r="E116" s="4"/>
      <c r="F116" s="90">
        <f>SUM(F110:F115)</f>
        <v>560994.23</v>
      </c>
      <c r="G116" s="90">
        <f>SUM(G110:G115)</f>
        <v>520629.5</v>
      </c>
      <c r="H116" s="90">
        <f>SUM(H110:H115)</f>
        <v>184497.62000000002</v>
      </c>
    </row>
    <row r="117" spans="2:8" x14ac:dyDescent="0.25">
      <c r="B117" s="16"/>
      <c r="C117" s="16"/>
      <c r="D117" s="16"/>
      <c r="E117" s="17"/>
      <c r="F117" s="17"/>
      <c r="G117" s="17"/>
      <c r="H117" s="17"/>
    </row>
    <row r="118" spans="2:8" x14ac:dyDescent="0.25">
      <c r="B118" s="16"/>
      <c r="C118" s="16" t="s">
        <v>244</v>
      </c>
      <c r="D118" s="16"/>
      <c r="E118" s="17"/>
      <c r="F118" s="17"/>
      <c r="G118" s="17"/>
      <c r="H118" s="17"/>
    </row>
    <row r="119" spans="2:8" x14ac:dyDescent="0.25">
      <c r="B119" s="137" t="s">
        <v>228</v>
      </c>
      <c r="C119" s="137" t="s">
        <v>229</v>
      </c>
      <c r="D119" s="137"/>
      <c r="E119" s="131" t="s">
        <v>230</v>
      </c>
      <c r="F119" s="17"/>
      <c r="G119" s="17"/>
      <c r="H119" s="17"/>
    </row>
    <row r="120" spans="2:8" x14ac:dyDescent="0.25">
      <c r="B120" s="133" t="s">
        <v>231</v>
      </c>
      <c r="C120" s="199">
        <v>4</v>
      </c>
      <c r="D120" s="200"/>
      <c r="E120" s="105">
        <v>100</v>
      </c>
      <c r="F120" s="17"/>
      <c r="G120" s="17"/>
      <c r="H120" s="17"/>
    </row>
    <row r="121" spans="2:8" x14ac:dyDescent="0.25">
      <c r="B121" s="133" t="s">
        <v>232</v>
      </c>
      <c r="C121" s="199">
        <v>4</v>
      </c>
      <c r="D121" s="200"/>
      <c r="E121" s="105">
        <v>100</v>
      </c>
      <c r="F121" s="17"/>
      <c r="G121" s="17"/>
      <c r="H121" s="17"/>
    </row>
    <row r="122" spans="2:8" x14ac:dyDescent="0.25">
      <c r="B122" s="133" t="s">
        <v>233</v>
      </c>
      <c r="C122" s="199"/>
      <c r="D122" s="200"/>
      <c r="E122" s="105"/>
      <c r="F122" s="17"/>
      <c r="G122" s="17"/>
      <c r="H122" s="17"/>
    </row>
    <row r="123" spans="2:8" x14ac:dyDescent="0.25">
      <c r="B123" s="133" t="s">
        <v>234</v>
      </c>
      <c r="C123" s="199">
        <v>1</v>
      </c>
      <c r="D123" s="200"/>
      <c r="E123" s="105">
        <v>100</v>
      </c>
      <c r="F123" s="17"/>
      <c r="G123" s="17"/>
      <c r="H123" s="17"/>
    </row>
    <row r="124" spans="2:8" x14ac:dyDescent="0.25">
      <c r="B124" s="133" t="s">
        <v>235</v>
      </c>
      <c r="C124" s="199"/>
      <c r="D124" s="200"/>
      <c r="E124" s="105"/>
      <c r="F124" s="17"/>
      <c r="G124" s="17"/>
      <c r="H124" s="17"/>
    </row>
    <row r="125" spans="2:8" x14ac:dyDescent="0.25">
      <c r="B125" s="133" t="s">
        <v>236</v>
      </c>
      <c r="C125" s="199"/>
      <c r="D125" s="200"/>
      <c r="E125" s="105"/>
      <c r="F125" s="17"/>
      <c r="G125" s="17"/>
      <c r="H125" s="17"/>
    </row>
    <row r="126" spans="2:8" x14ac:dyDescent="0.25">
      <c r="B126" s="133" t="s">
        <v>70</v>
      </c>
      <c r="C126" s="199">
        <v>6</v>
      </c>
      <c r="D126" s="200"/>
      <c r="E126" s="105">
        <v>100</v>
      </c>
      <c r="F126" s="17"/>
      <c r="G126" s="17"/>
      <c r="H126" s="17"/>
    </row>
    <row r="127" spans="2:8" x14ac:dyDescent="0.25">
      <c r="B127" s="133" t="s">
        <v>237</v>
      </c>
      <c r="C127" s="199"/>
      <c r="D127" s="200"/>
      <c r="E127" s="105"/>
      <c r="F127" s="17"/>
      <c r="G127" s="17"/>
      <c r="H127" s="17"/>
    </row>
    <row r="128" spans="2:8" x14ac:dyDescent="0.25">
      <c r="B128" s="133" t="s">
        <v>238</v>
      </c>
      <c r="C128" s="199"/>
      <c r="D128" s="200"/>
      <c r="E128" s="105"/>
      <c r="F128" s="17"/>
      <c r="G128" s="17"/>
      <c r="H128" s="17"/>
    </row>
    <row r="129" spans="2:8" x14ac:dyDescent="0.25">
      <c r="B129" s="133" t="s">
        <v>239</v>
      </c>
      <c r="C129" s="199"/>
      <c r="D129" s="200"/>
      <c r="E129" s="105"/>
      <c r="F129" s="17"/>
      <c r="G129" s="17"/>
      <c r="H129" s="17"/>
    </row>
    <row r="130" spans="2:8" x14ac:dyDescent="0.25">
      <c r="B130" s="133" t="s">
        <v>240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241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242</v>
      </c>
      <c r="C132" s="199"/>
      <c r="D132" s="200"/>
      <c r="E132" s="105"/>
      <c r="F132" s="17"/>
      <c r="G132" s="17"/>
      <c r="H132" s="17"/>
    </row>
    <row r="133" spans="2:8" x14ac:dyDescent="0.25">
      <c r="B133" s="133" t="s">
        <v>243</v>
      </c>
      <c r="C133" s="199"/>
      <c r="D133" s="200"/>
      <c r="E133" s="105"/>
      <c r="F133" s="17"/>
      <c r="G133" s="17"/>
      <c r="H133" s="17"/>
    </row>
    <row r="134" spans="2:8" x14ac:dyDescent="0.25">
      <c r="B134" s="139" t="s">
        <v>103</v>
      </c>
      <c r="C134" s="245">
        <f>SUM(C120:C133)</f>
        <v>15</v>
      </c>
      <c r="D134" s="246"/>
      <c r="E134" s="123">
        <v>100</v>
      </c>
      <c r="F134" s="9"/>
      <c r="G134" s="9"/>
      <c r="H134" s="17"/>
    </row>
    <row r="135" spans="2:8" x14ac:dyDescent="0.25">
      <c r="B135" s="12"/>
      <c r="C135" s="12"/>
      <c r="D135" s="9"/>
      <c r="E135" s="9"/>
      <c r="F135" s="9"/>
      <c r="G135" s="9"/>
    </row>
    <row r="136" spans="2:8" ht="44.25" customHeight="1" x14ac:dyDescent="0.25">
      <c r="B136" s="33"/>
      <c r="C136" s="90" t="s">
        <v>30</v>
      </c>
      <c r="D136" s="90" t="s">
        <v>31</v>
      </c>
      <c r="E136" s="89" t="s">
        <v>104</v>
      </c>
      <c r="F136" s="89" t="s">
        <v>32</v>
      </c>
    </row>
    <row r="137" spans="2:8" x14ac:dyDescent="0.25">
      <c r="B137" s="32" t="s">
        <v>105</v>
      </c>
      <c r="C137" s="88">
        <v>69938</v>
      </c>
      <c r="D137" s="88">
        <v>73222.3</v>
      </c>
      <c r="E137" s="88"/>
      <c r="F137" s="85">
        <f>27598.25-17484.5</f>
        <v>10113.75</v>
      </c>
    </row>
    <row r="138" spans="2:8" x14ac:dyDescent="0.25">
      <c r="B138" s="32" t="s">
        <v>106</v>
      </c>
      <c r="C138" s="88">
        <v>3929.88</v>
      </c>
      <c r="D138" s="88">
        <v>3534.98</v>
      </c>
      <c r="E138" s="88"/>
      <c r="F138" s="85">
        <f>2919.98+8632.39-982.47</f>
        <v>10569.9</v>
      </c>
    </row>
    <row r="139" spans="2:8" ht="28.5" x14ac:dyDescent="0.25">
      <c r="B139" s="33" t="s">
        <v>178</v>
      </c>
      <c r="C139" s="90">
        <f>SUM(C137:C138)</f>
        <v>73867.88</v>
      </c>
      <c r="D139" s="90">
        <f>SUM(D137:D138)</f>
        <v>76757.279999999999</v>
      </c>
      <c r="E139" s="90"/>
      <c r="F139" s="90">
        <f>SUM(F137:F138)</f>
        <v>20683.650000000001</v>
      </c>
    </row>
    <row r="141" spans="2:8" x14ac:dyDescent="0.25">
      <c r="B141" s="177" t="s">
        <v>108</v>
      </c>
      <c r="C141" s="178"/>
      <c r="D141" s="179"/>
      <c r="E141" s="196">
        <f>G105</f>
        <v>309380.63000000006</v>
      </c>
      <c r="F141" s="197"/>
    </row>
    <row r="143" spans="2:8" x14ac:dyDescent="0.25">
      <c r="B143" s="198" t="s">
        <v>109</v>
      </c>
      <c r="C143" s="198"/>
      <c r="D143" s="198"/>
      <c r="E143" s="193"/>
      <c r="F143" s="193"/>
    </row>
    <row r="144" spans="2:8" x14ac:dyDescent="0.25">
      <c r="B144" s="192" t="s">
        <v>110</v>
      </c>
      <c r="C144" s="192"/>
      <c r="D144" s="192"/>
      <c r="E144" s="193"/>
      <c r="F144" s="193"/>
    </row>
    <row r="145" spans="2:8" x14ac:dyDescent="0.25">
      <c r="B145" s="192" t="s">
        <v>111</v>
      </c>
      <c r="C145" s="192"/>
      <c r="D145" s="192"/>
      <c r="E145" s="193"/>
      <c r="F145" s="193"/>
    </row>
    <row r="146" spans="2:8" x14ac:dyDescent="0.25">
      <c r="B146" s="192" t="s">
        <v>112</v>
      </c>
      <c r="C146" s="192"/>
      <c r="D146" s="192"/>
      <c r="E146" s="193"/>
      <c r="F146" s="193"/>
    </row>
    <row r="147" spans="2:8" x14ac:dyDescent="0.25">
      <c r="B147" s="192" t="s">
        <v>113</v>
      </c>
      <c r="C147" s="192"/>
      <c r="D147" s="192"/>
      <c r="E147" s="193"/>
      <c r="F147" s="193"/>
    </row>
    <row r="149" spans="2:8" x14ac:dyDescent="0.25">
      <c r="B149" s="177" t="s">
        <v>114</v>
      </c>
      <c r="C149" s="178"/>
      <c r="D149" s="179"/>
      <c r="E149" s="193"/>
      <c r="F149" s="193"/>
    </row>
    <row r="151" spans="2:8" hidden="1" x14ac:dyDescent="0.25">
      <c r="B151" s="181" t="s">
        <v>123</v>
      </c>
      <c r="C151" s="183"/>
      <c r="D151" s="88" t="s">
        <v>124</v>
      </c>
      <c r="E151" s="176" t="s">
        <v>122</v>
      </c>
      <c r="F151" s="176"/>
    </row>
    <row r="152" spans="2:8" hidden="1" x14ac:dyDescent="0.25">
      <c r="B152" s="181" t="s">
        <v>125</v>
      </c>
      <c r="C152" s="183"/>
      <c r="D152" s="88" t="s">
        <v>126</v>
      </c>
      <c r="E152" s="176" t="s">
        <v>122</v>
      </c>
      <c r="F152" s="176"/>
    </row>
    <row r="153" spans="2:8" ht="30" hidden="1" customHeight="1" x14ac:dyDescent="0.25">
      <c r="B153" s="174" t="s">
        <v>127</v>
      </c>
      <c r="C153" s="175"/>
      <c r="D153" s="88" t="s">
        <v>128</v>
      </c>
      <c r="E153" s="176" t="s">
        <v>122</v>
      </c>
      <c r="F153" s="176"/>
    </row>
    <row r="154" spans="2:8" ht="30" hidden="1" customHeight="1" x14ac:dyDescent="0.25">
      <c r="B154" s="174" t="s">
        <v>129</v>
      </c>
      <c r="C154" s="175"/>
      <c r="D154" s="88" t="s">
        <v>130</v>
      </c>
      <c r="E154" s="176"/>
      <c r="F154" s="176"/>
    </row>
    <row r="155" spans="2:8" ht="30" hidden="1" x14ac:dyDescent="0.25">
      <c r="B155" s="174" t="s">
        <v>131</v>
      </c>
      <c r="C155" s="175"/>
      <c r="D155" s="24" t="s">
        <v>132</v>
      </c>
      <c r="E155" s="176" t="s">
        <v>133</v>
      </c>
      <c r="F155" s="176"/>
    </row>
    <row r="156" spans="2:8" hidden="1" x14ac:dyDescent="0.25">
      <c r="B156" s="181" t="s">
        <v>134</v>
      </c>
      <c r="C156" s="183"/>
      <c r="D156" s="10" t="s">
        <v>135</v>
      </c>
      <c r="E156" s="176"/>
      <c r="F156" s="176"/>
    </row>
    <row r="157" spans="2:8" ht="30" hidden="1" customHeight="1" x14ac:dyDescent="0.25">
      <c r="B157" s="174" t="s">
        <v>136</v>
      </c>
      <c r="C157" s="175"/>
      <c r="D157" s="10" t="s">
        <v>137</v>
      </c>
      <c r="E157" s="176"/>
      <c r="F157" s="176"/>
    </row>
    <row r="158" spans="2:8" ht="30" hidden="1" customHeight="1" x14ac:dyDescent="0.25">
      <c r="B158" s="174" t="s">
        <v>138</v>
      </c>
      <c r="C158" s="175"/>
      <c r="D158" s="88" t="s">
        <v>139</v>
      </c>
      <c r="E158" s="176"/>
      <c r="F158" s="176"/>
    </row>
    <row r="159" spans="2:8" x14ac:dyDescent="0.25">
      <c r="B159" s="177" t="s">
        <v>74</v>
      </c>
      <c r="C159" s="178"/>
      <c r="D159" s="179"/>
      <c r="E159" s="180">
        <v>1520</v>
      </c>
      <c r="F159" s="180"/>
      <c r="G159" s="25"/>
      <c r="H159" s="25"/>
    </row>
    <row r="160" spans="2:8" x14ac:dyDescent="0.25">
      <c r="B160" s="181" t="s">
        <v>75</v>
      </c>
      <c r="C160" s="182"/>
      <c r="D160" s="183"/>
      <c r="E160" s="176"/>
      <c r="F160" s="176"/>
      <c r="G160" s="26"/>
      <c r="H160" s="26"/>
    </row>
    <row r="161" spans="2:8" x14ac:dyDescent="0.25">
      <c r="B161" s="181" t="s">
        <v>76</v>
      </c>
      <c r="C161" s="182"/>
      <c r="D161" s="183"/>
      <c r="E161" s="184">
        <v>320</v>
      </c>
      <c r="F161" s="184"/>
      <c r="G161" s="27"/>
      <c r="H161" s="27"/>
    </row>
    <row r="162" spans="2:8" x14ac:dyDescent="0.25">
      <c r="B162" s="181" t="s">
        <v>77</v>
      </c>
      <c r="C162" s="182"/>
      <c r="D162" s="183"/>
      <c r="E162" s="184"/>
      <c r="F162" s="184"/>
      <c r="G162" s="27"/>
      <c r="H162" s="27"/>
    </row>
    <row r="163" spans="2:8" x14ac:dyDescent="0.25">
      <c r="B163" s="177" t="s">
        <v>78</v>
      </c>
      <c r="C163" s="178"/>
      <c r="D163" s="179"/>
      <c r="E163" s="180"/>
      <c r="F163" s="180"/>
      <c r="G163" s="25"/>
      <c r="H163" s="25"/>
    </row>
    <row r="164" spans="2:8" x14ac:dyDescent="0.25">
      <c r="B164" s="181" t="s">
        <v>79</v>
      </c>
      <c r="C164" s="182"/>
      <c r="D164" s="183"/>
      <c r="E164" s="184">
        <v>4860</v>
      </c>
      <c r="F164" s="184"/>
      <c r="G164" s="27"/>
      <c r="H164" s="27"/>
    </row>
    <row r="165" spans="2:8" x14ac:dyDescent="0.25">
      <c r="B165" s="177" t="s">
        <v>80</v>
      </c>
      <c r="C165" s="178"/>
      <c r="D165" s="179"/>
      <c r="E165" s="184"/>
      <c r="F165" s="184"/>
      <c r="G165" s="27"/>
      <c r="H165" s="27"/>
    </row>
    <row r="166" spans="2:8" x14ac:dyDescent="0.25">
      <c r="B166" s="16"/>
      <c r="C166" s="16"/>
      <c r="D166" s="16"/>
      <c r="E166" s="17"/>
      <c r="F166" s="17"/>
      <c r="G166" s="17"/>
      <c r="H166" s="17"/>
    </row>
    <row r="167" spans="2:8" ht="36" customHeight="1" x14ac:dyDescent="0.25">
      <c r="B167" s="185" t="s">
        <v>115</v>
      </c>
      <c r="C167" s="186"/>
      <c r="D167" s="186"/>
      <c r="E167" s="186"/>
      <c r="F167" s="21" t="s">
        <v>116</v>
      </c>
    </row>
    <row r="168" spans="2:8" ht="14.45" customHeight="1" x14ac:dyDescent="0.25">
      <c r="B168" s="187" t="s">
        <v>117</v>
      </c>
      <c r="C168" s="188" t="s">
        <v>118</v>
      </c>
      <c r="D168" s="190" t="s">
        <v>119</v>
      </c>
      <c r="E168" s="191"/>
      <c r="F168" s="4"/>
    </row>
    <row r="169" spans="2:8" x14ac:dyDescent="0.25">
      <c r="B169" s="187"/>
      <c r="C169" s="189"/>
      <c r="D169" s="83" t="s">
        <v>120</v>
      </c>
      <c r="E169" s="83" t="s">
        <v>121</v>
      </c>
      <c r="F169" s="4"/>
    </row>
    <row r="170" spans="2:8" x14ac:dyDescent="0.25">
      <c r="B170" s="115"/>
      <c r="C170" s="124"/>
      <c r="D170" s="115"/>
      <c r="E170" s="115"/>
      <c r="F170" s="4"/>
    </row>
    <row r="171" spans="2:8" x14ac:dyDescent="0.25">
      <c r="B171" s="115"/>
      <c r="C171" s="115"/>
      <c r="D171" s="115"/>
      <c r="E171" s="115"/>
      <c r="F171" s="4"/>
    </row>
    <row r="172" spans="2:8" x14ac:dyDescent="0.25">
      <c r="B172" s="120"/>
      <c r="C172" s="120"/>
      <c r="D172" s="121"/>
      <c r="E172" s="121"/>
      <c r="F172" s="121"/>
    </row>
    <row r="173" spans="2:8" x14ac:dyDescent="0.25">
      <c r="B173" s="120" t="s">
        <v>247</v>
      </c>
      <c r="C173" s="120"/>
      <c r="D173" s="121" t="s">
        <v>248</v>
      </c>
      <c r="E173" s="121"/>
      <c r="F173" s="121"/>
    </row>
  </sheetData>
  <mergeCells count="181">
    <mergeCell ref="B67:C67"/>
    <mergeCell ref="B68:C68"/>
    <mergeCell ref="B69:C69"/>
    <mergeCell ref="B70:C70"/>
    <mergeCell ref="B164:D164"/>
    <mergeCell ref="E164:F164"/>
    <mergeCell ref="B165:D165"/>
    <mergeCell ref="E165:F165"/>
    <mergeCell ref="B167:E167"/>
    <mergeCell ref="B158:C158"/>
    <mergeCell ref="E158:F158"/>
    <mergeCell ref="B159:D159"/>
    <mergeCell ref="E159:F159"/>
    <mergeCell ref="B160:D160"/>
    <mergeCell ref="E160:F160"/>
    <mergeCell ref="B155:C155"/>
    <mergeCell ref="E155:F155"/>
    <mergeCell ref="B156:C156"/>
    <mergeCell ref="E156:F156"/>
    <mergeCell ref="B157:C157"/>
    <mergeCell ref="E157:F157"/>
    <mergeCell ref="B152:C152"/>
    <mergeCell ref="E152:F152"/>
    <mergeCell ref="B153:C153"/>
    <mergeCell ref="B168:B169"/>
    <mergeCell ref="C168:C169"/>
    <mergeCell ref="D168:E168"/>
    <mergeCell ref="B161:D161"/>
    <mergeCell ref="E161:F161"/>
    <mergeCell ref="B162:D162"/>
    <mergeCell ref="E162:F162"/>
    <mergeCell ref="B163:D163"/>
    <mergeCell ref="E163:F163"/>
    <mergeCell ref="E153:F153"/>
    <mergeCell ref="B154:C154"/>
    <mergeCell ref="E154:F154"/>
    <mergeCell ref="B147:D147"/>
    <mergeCell ref="E147:F147"/>
    <mergeCell ref="B149:D149"/>
    <mergeCell ref="E149:F149"/>
    <mergeCell ref="B151:C151"/>
    <mergeCell ref="E151:F151"/>
    <mergeCell ref="B144:D144"/>
    <mergeCell ref="E144:F144"/>
    <mergeCell ref="B145:D145"/>
    <mergeCell ref="E145:F145"/>
    <mergeCell ref="B146:D146"/>
    <mergeCell ref="E146:F146"/>
    <mergeCell ref="G108:G109"/>
    <mergeCell ref="H108:H109"/>
    <mergeCell ref="B141:D141"/>
    <mergeCell ref="E141:F141"/>
    <mergeCell ref="B143:D143"/>
    <mergeCell ref="E143:F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B101:C101"/>
    <mergeCell ref="B102:C102"/>
    <mergeCell ref="B104:C104"/>
    <mergeCell ref="B105:C105"/>
    <mergeCell ref="B107:F107"/>
    <mergeCell ref="B108:B109"/>
    <mergeCell ref="C108:D108"/>
    <mergeCell ref="E108:E109"/>
    <mergeCell ref="F108:F109"/>
    <mergeCell ref="B95:C95"/>
    <mergeCell ref="B96:C96"/>
    <mergeCell ref="B97:C97"/>
    <mergeCell ref="B98:C98"/>
    <mergeCell ref="B99:C99"/>
    <mergeCell ref="B100:C100"/>
    <mergeCell ref="B93:G93"/>
    <mergeCell ref="B94:C94"/>
    <mergeCell ref="B90:C90"/>
    <mergeCell ref="B91:C9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50:C50"/>
    <mergeCell ref="B51:C51"/>
    <mergeCell ref="B52:C52"/>
    <mergeCell ref="B53:C53"/>
    <mergeCell ref="B54:C54"/>
    <mergeCell ref="B71:C71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C132:D132"/>
    <mergeCell ref="C133:D133"/>
    <mergeCell ref="C134:D134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0" max="7" man="1"/>
    <brk id="1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4"/>
  <sheetViews>
    <sheetView view="pageBreakPreview" topLeftCell="A11" zoomScale="70" zoomScaleSheetLayoutView="70" workbookViewId="0">
      <selection activeCell="E26" sqref="E26"/>
    </sheetView>
  </sheetViews>
  <sheetFormatPr defaultRowHeight="15" x14ac:dyDescent="0.25"/>
  <cols>
    <col min="1" max="1" width="4.28515625" customWidth="1"/>
    <col min="2" max="2" width="49.140625" customWidth="1"/>
    <col min="3" max="3" width="14" customWidth="1"/>
    <col min="4" max="4" width="16.85546875" customWidth="1"/>
    <col min="5" max="5" width="17" customWidth="1"/>
    <col min="6" max="6" width="17.85546875" customWidth="1"/>
    <col min="7" max="8" width="15.42578125" customWidth="1"/>
  </cols>
  <sheetData>
    <row r="2" spans="1:8" ht="15.75" x14ac:dyDescent="0.25">
      <c r="B2" s="237" t="s">
        <v>0</v>
      </c>
      <c r="C2" s="237"/>
      <c r="D2" s="237"/>
      <c r="E2" s="237"/>
      <c r="F2" s="237"/>
      <c r="G2" s="237"/>
      <c r="H2" s="237"/>
    </row>
    <row r="3" spans="1:8" ht="15.75" x14ac:dyDescent="0.25">
      <c r="A3" s="237" t="s">
        <v>1</v>
      </c>
      <c r="B3" s="237"/>
      <c r="C3" s="237"/>
      <c r="D3" s="237"/>
      <c r="E3" s="237"/>
      <c r="F3" s="237"/>
      <c r="G3" s="237"/>
      <c r="H3" s="237"/>
    </row>
    <row r="5" spans="1:8" x14ac:dyDescent="0.25">
      <c r="A5" s="238" t="s">
        <v>2</v>
      </c>
      <c r="B5" s="238"/>
      <c r="C5" s="238"/>
      <c r="D5" s="238"/>
      <c r="E5" s="238"/>
      <c r="F5" s="238"/>
      <c r="G5" s="238"/>
      <c r="H5" s="1"/>
    </row>
    <row r="6" spans="1:8" x14ac:dyDescent="0.25">
      <c r="A6" s="238" t="s">
        <v>188</v>
      </c>
      <c r="B6" s="238"/>
      <c r="C6" s="238"/>
      <c r="D6" s="238"/>
      <c r="E6" s="238"/>
      <c r="F6" s="238"/>
      <c r="G6" s="238"/>
      <c r="H6" s="36"/>
    </row>
    <row r="7" spans="1:8" x14ac:dyDescent="0.25">
      <c r="B7" s="2"/>
      <c r="C7" s="2"/>
      <c r="D7" s="2"/>
      <c r="E7" s="2"/>
      <c r="F7" s="2"/>
      <c r="G7" s="2"/>
      <c r="H7" s="2"/>
    </row>
    <row r="8" spans="1:8" x14ac:dyDescent="0.25">
      <c r="A8" s="3">
        <v>1</v>
      </c>
      <c r="B8" s="192" t="s">
        <v>3</v>
      </c>
      <c r="C8" s="192"/>
      <c r="D8" s="192"/>
      <c r="E8" s="176" t="s">
        <v>189</v>
      </c>
      <c r="F8" s="176"/>
      <c r="G8" s="176"/>
      <c r="H8" s="2"/>
    </row>
    <row r="9" spans="1:8" x14ac:dyDescent="0.25">
      <c r="A9" s="3">
        <v>2</v>
      </c>
      <c r="B9" s="192" t="s">
        <v>4</v>
      </c>
      <c r="C9" s="192"/>
      <c r="D9" s="192"/>
      <c r="E9" s="176">
        <v>3658.3</v>
      </c>
      <c r="F9" s="176"/>
      <c r="G9" s="176"/>
      <c r="H9" s="2"/>
    </row>
    <row r="10" spans="1:8" x14ac:dyDescent="0.25">
      <c r="A10" s="4" t="s">
        <v>5</v>
      </c>
      <c r="B10" s="192" t="s">
        <v>6</v>
      </c>
      <c r="C10" s="192"/>
      <c r="D10" s="192"/>
      <c r="E10" s="176">
        <v>3658.3</v>
      </c>
      <c r="F10" s="176"/>
      <c r="G10" s="176"/>
      <c r="H10" s="2"/>
    </row>
    <row r="11" spans="1:8" x14ac:dyDescent="0.25">
      <c r="A11" s="4" t="s">
        <v>7</v>
      </c>
      <c r="B11" s="192" t="s">
        <v>8</v>
      </c>
      <c r="C11" s="192"/>
      <c r="D11" s="192"/>
      <c r="E11" s="176"/>
      <c r="F11" s="176"/>
      <c r="G11" s="176"/>
      <c r="H11" s="2"/>
    </row>
    <row r="12" spans="1:8" x14ac:dyDescent="0.25">
      <c r="A12" s="4" t="s">
        <v>9</v>
      </c>
      <c r="B12" s="192" t="s">
        <v>10</v>
      </c>
      <c r="C12" s="192"/>
      <c r="D12" s="192"/>
      <c r="E12" s="176">
        <v>3658.3</v>
      </c>
      <c r="F12" s="176"/>
      <c r="G12" s="176"/>
      <c r="H12" s="2"/>
    </row>
    <row r="13" spans="1:8" x14ac:dyDescent="0.25">
      <c r="A13" s="3">
        <v>3</v>
      </c>
      <c r="B13" s="192" t="s">
        <v>11</v>
      </c>
      <c r="C13" s="192"/>
      <c r="D13" s="192"/>
      <c r="E13" s="176" t="s">
        <v>143</v>
      </c>
      <c r="F13" s="176"/>
      <c r="G13" s="176"/>
      <c r="H13" s="2"/>
    </row>
    <row r="14" spans="1:8" x14ac:dyDescent="0.25">
      <c r="A14" s="3">
        <v>4</v>
      </c>
      <c r="B14" s="192" t="s">
        <v>12</v>
      </c>
      <c r="C14" s="192"/>
      <c r="D14" s="192"/>
      <c r="E14" s="176" t="s">
        <v>162</v>
      </c>
      <c r="F14" s="176"/>
      <c r="G14" s="176"/>
      <c r="H14" s="2"/>
    </row>
    <row r="15" spans="1:8" x14ac:dyDescent="0.25">
      <c r="A15" s="3">
        <v>5</v>
      </c>
      <c r="B15" s="192" t="s">
        <v>13</v>
      </c>
      <c r="C15" s="192"/>
      <c r="D15" s="192"/>
      <c r="E15" s="176">
        <v>84</v>
      </c>
      <c r="F15" s="176"/>
      <c r="G15" s="176"/>
      <c r="H15" s="2"/>
    </row>
    <row r="16" spans="1:8" x14ac:dyDescent="0.25">
      <c r="A16" s="3">
        <v>6</v>
      </c>
      <c r="B16" s="192" t="s">
        <v>14</v>
      </c>
      <c r="C16" s="192"/>
      <c r="D16" s="192"/>
      <c r="E16" s="176">
        <v>1</v>
      </c>
      <c r="F16" s="176"/>
      <c r="G16" s="176"/>
      <c r="H16" s="2"/>
    </row>
    <row r="17" spans="1:8" x14ac:dyDescent="0.25">
      <c r="A17" s="3">
        <v>7</v>
      </c>
      <c r="B17" s="192" t="s">
        <v>15</v>
      </c>
      <c r="C17" s="192"/>
      <c r="D17" s="192"/>
      <c r="E17" s="176">
        <v>194</v>
      </c>
      <c r="F17" s="176"/>
      <c r="G17" s="176"/>
      <c r="H17" s="2"/>
    </row>
    <row r="18" spans="1:8" x14ac:dyDescent="0.25">
      <c r="B18" s="2"/>
      <c r="C18" s="2"/>
      <c r="D18" s="2"/>
      <c r="E18" s="2"/>
      <c r="F18" s="2"/>
      <c r="G18" s="2"/>
      <c r="H18" s="2"/>
    </row>
    <row r="19" spans="1:8" ht="18.75" x14ac:dyDescent="0.3">
      <c r="B19" s="236" t="s">
        <v>16</v>
      </c>
      <c r="C19" s="236"/>
      <c r="D19" s="236"/>
      <c r="E19" s="236"/>
      <c r="F19" s="236"/>
      <c r="G19" s="236"/>
      <c r="H19" s="2"/>
    </row>
    <row r="20" spans="1:8" x14ac:dyDescent="0.25">
      <c r="B20" s="228"/>
      <c r="C20" s="229"/>
      <c r="D20" s="232" t="s">
        <v>17</v>
      </c>
      <c r="E20" s="233" t="s">
        <v>18</v>
      </c>
      <c r="F20" s="234"/>
      <c r="G20" s="235"/>
      <c r="H20" s="2"/>
    </row>
    <row r="21" spans="1:8" ht="114.75" x14ac:dyDescent="0.25">
      <c r="B21" s="230"/>
      <c r="C21" s="231"/>
      <c r="D21" s="232"/>
      <c r="E21" s="94" t="s">
        <v>20</v>
      </c>
      <c r="F21" s="94" t="s">
        <v>21</v>
      </c>
      <c r="G21" s="94" t="s">
        <v>19</v>
      </c>
      <c r="H21" s="31"/>
    </row>
    <row r="22" spans="1:8" x14ac:dyDescent="0.25">
      <c r="B22" s="223" t="s">
        <v>22</v>
      </c>
      <c r="C22" s="224"/>
      <c r="D22" s="7">
        <f>E22</f>
        <v>51226.48</v>
      </c>
      <c r="E22" s="7">
        <v>51226.48</v>
      </c>
      <c r="F22" s="7"/>
      <c r="G22" s="7"/>
      <c r="H22" s="2"/>
    </row>
    <row r="23" spans="1:8" x14ac:dyDescent="0.25">
      <c r="B23" s="223" t="s">
        <v>23</v>
      </c>
      <c r="C23" s="224"/>
      <c r="D23" s="43">
        <f>E23+F23+G23</f>
        <v>1428240.5</v>
      </c>
      <c r="E23" s="45">
        <f>E38+D96+C140</f>
        <v>624374.3600000001</v>
      </c>
      <c r="F23" s="7">
        <f>D97+D98+D99+D100+D101+D102+D103+D104</f>
        <v>146048.66999999998</v>
      </c>
      <c r="G23" s="7">
        <f>F111+F112+F113+F114+F115+F116</f>
        <v>657817.47000000009</v>
      </c>
      <c r="H23" s="2"/>
    </row>
    <row r="24" spans="1:8" x14ac:dyDescent="0.25">
      <c r="B24" s="223" t="s">
        <v>24</v>
      </c>
      <c r="C24" s="224"/>
      <c r="D24" s="43">
        <f>E24+F24+G24</f>
        <v>1253631.8700000001</v>
      </c>
      <c r="E24" s="45">
        <f>F38+E96+D138+D139</f>
        <v>579211.63000000012</v>
      </c>
      <c r="F24" s="7">
        <f>E97+E98+E100+E101+E104+E99+E102+E103</f>
        <v>140455.12000000002</v>
      </c>
      <c r="G24" s="7">
        <f>G117</f>
        <v>533965.12000000011</v>
      </c>
      <c r="H24" s="2"/>
    </row>
    <row r="25" spans="1:8" x14ac:dyDescent="0.25">
      <c r="B25" s="223" t="s">
        <v>25</v>
      </c>
      <c r="C25" s="224"/>
      <c r="D25" s="7">
        <f>E25+F25+G25</f>
        <v>1278661.54</v>
      </c>
      <c r="E25" s="7">
        <f>D140+536332</f>
        <v>604241.30000000005</v>
      </c>
      <c r="F25" s="7">
        <f>F24</f>
        <v>140455.12000000002</v>
      </c>
      <c r="G25" s="7">
        <f>G24</f>
        <v>533965.12000000011</v>
      </c>
      <c r="H25" s="2"/>
    </row>
    <row r="26" spans="1:8" x14ac:dyDescent="0.25">
      <c r="B26" s="223" t="s">
        <v>252</v>
      </c>
      <c r="C26" s="224"/>
      <c r="D26" s="7">
        <f>E26+F26+G26</f>
        <v>495859.68</v>
      </c>
      <c r="E26" s="45">
        <f>G38+G96+F140</f>
        <v>120497.4</v>
      </c>
      <c r="F26" s="45">
        <f>G105-G96</f>
        <v>68339.149999999994</v>
      </c>
      <c r="G26" s="45">
        <f>H117</f>
        <v>307023.13</v>
      </c>
      <c r="H26" s="2"/>
    </row>
    <row r="27" spans="1:8" x14ac:dyDescent="0.25">
      <c r="B27" s="5"/>
      <c r="C27" s="5"/>
      <c r="D27" s="5"/>
      <c r="E27" s="6"/>
      <c r="F27" s="6"/>
      <c r="G27" s="2"/>
      <c r="H27" s="2"/>
    </row>
    <row r="28" spans="1:8" x14ac:dyDescent="0.25">
      <c r="B28" s="197" t="s">
        <v>27</v>
      </c>
      <c r="C28" s="197"/>
      <c r="D28" s="197"/>
      <c r="E28" s="197"/>
      <c r="F28" s="197"/>
      <c r="G28" s="197"/>
      <c r="H28" s="2"/>
    </row>
    <row r="29" spans="1:8" x14ac:dyDescent="0.25">
      <c r="B29" s="197" t="s">
        <v>179</v>
      </c>
      <c r="C29" s="197"/>
      <c r="D29" s="197"/>
      <c r="E29" s="197"/>
      <c r="F29" s="197"/>
      <c r="G29" s="197"/>
      <c r="H29" s="2"/>
    </row>
    <row r="30" spans="1:8" ht="42" customHeight="1" x14ac:dyDescent="0.25">
      <c r="B30" s="225" t="s">
        <v>29</v>
      </c>
      <c r="C30" s="226"/>
      <c r="D30" s="227"/>
      <c r="E30" s="91" t="s">
        <v>30</v>
      </c>
      <c r="F30" s="95" t="s">
        <v>31</v>
      </c>
      <c r="G30" s="89" t="s">
        <v>32</v>
      </c>
      <c r="H30" s="9"/>
    </row>
    <row r="31" spans="1:8" x14ac:dyDescent="0.25">
      <c r="B31" s="174" t="s">
        <v>33</v>
      </c>
      <c r="C31" s="212"/>
      <c r="D31" s="175"/>
      <c r="E31" s="88">
        <v>67607.34</v>
      </c>
      <c r="F31" s="40">
        <v>63246.04</v>
      </c>
      <c r="G31" s="88">
        <f>15266.62-5963.1</f>
        <v>9303.52</v>
      </c>
      <c r="H31" s="5"/>
    </row>
    <row r="32" spans="1:8" x14ac:dyDescent="0.25">
      <c r="B32" s="174" t="s">
        <v>34</v>
      </c>
      <c r="C32" s="212"/>
      <c r="D32" s="175"/>
      <c r="E32" s="88">
        <v>86606</v>
      </c>
      <c r="F32" s="40">
        <v>81714.58</v>
      </c>
      <c r="G32" s="88">
        <f>20420.53-7755.56</f>
        <v>12664.969999999998</v>
      </c>
      <c r="H32" s="5"/>
    </row>
    <row r="33" spans="2:8" x14ac:dyDescent="0.25">
      <c r="B33" s="174" t="s">
        <v>35</v>
      </c>
      <c r="C33" s="212"/>
      <c r="D33" s="175"/>
      <c r="E33" s="88">
        <v>54435.78</v>
      </c>
      <c r="F33" s="40">
        <v>51301.22</v>
      </c>
      <c r="G33" s="88">
        <f>12873.91-4792.36</f>
        <v>8081.55</v>
      </c>
      <c r="H33" s="5"/>
    </row>
    <row r="34" spans="2:8" hidden="1" x14ac:dyDescent="0.25">
      <c r="B34" s="174" t="s">
        <v>36</v>
      </c>
      <c r="C34" s="175"/>
      <c r="D34" s="93"/>
      <c r="E34" s="88"/>
      <c r="F34" s="40"/>
      <c r="G34" s="88"/>
      <c r="H34" s="5"/>
    </row>
    <row r="35" spans="2:8" x14ac:dyDescent="0.25">
      <c r="B35" s="174" t="s">
        <v>37</v>
      </c>
      <c r="C35" s="212"/>
      <c r="D35" s="175"/>
      <c r="E35" s="88">
        <v>128407.86</v>
      </c>
      <c r="F35" s="40">
        <v>121460.06</v>
      </c>
      <c r="G35" s="88">
        <f>30098.7-11158.07</f>
        <v>18940.63</v>
      </c>
      <c r="H35" s="5"/>
    </row>
    <row r="36" spans="2:8" x14ac:dyDescent="0.25">
      <c r="B36" s="174" t="s">
        <v>38</v>
      </c>
      <c r="C36" s="212"/>
      <c r="D36" s="175"/>
      <c r="E36" s="88">
        <v>90287.06</v>
      </c>
      <c r="F36" s="40">
        <f>84987.85+975.81</f>
        <v>85963.66</v>
      </c>
      <c r="G36" s="88">
        <f>15946.52+3915.37+2991.13-9365.22</f>
        <v>13487.800000000001</v>
      </c>
      <c r="H36" s="5"/>
    </row>
    <row r="37" spans="2:8" ht="30" customHeight="1" x14ac:dyDescent="0.25">
      <c r="B37" s="174" t="s">
        <v>39</v>
      </c>
      <c r="C37" s="212"/>
      <c r="D37" s="175"/>
      <c r="E37" s="88">
        <v>87799.2</v>
      </c>
      <c r="F37" s="40">
        <f>82537.62+843.13</f>
        <v>83380.75</v>
      </c>
      <c r="G37" s="88">
        <f>17928.41+2806.03-7536.07</f>
        <v>13198.369999999999</v>
      </c>
      <c r="H37" s="5"/>
    </row>
    <row r="38" spans="2:8" ht="23.25" customHeight="1" x14ac:dyDescent="0.25">
      <c r="B38" s="202" t="s">
        <v>40</v>
      </c>
      <c r="C38" s="213"/>
      <c r="D38" s="203"/>
      <c r="E38" s="41">
        <f>SUM(E31:E37)</f>
        <v>515143.24</v>
      </c>
      <c r="F38" s="41">
        <f>SUM(F31:F37)</f>
        <v>487066.31000000006</v>
      </c>
      <c r="G38" s="41">
        <f>SUM(G31:G37)</f>
        <v>75676.84</v>
      </c>
      <c r="H38" s="9"/>
    </row>
    <row r="39" spans="2:8" x14ac:dyDescent="0.25">
      <c r="B39" s="12"/>
      <c r="C39" s="12"/>
      <c r="D39" s="9"/>
      <c r="E39" s="9"/>
      <c r="F39" s="2"/>
      <c r="G39" s="2"/>
      <c r="H39" s="2"/>
    </row>
    <row r="40" spans="2:8" x14ac:dyDescent="0.25">
      <c r="B40" s="195" t="s">
        <v>41</v>
      </c>
      <c r="C40" s="195"/>
      <c r="D40" s="195"/>
      <c r="E40" s="195"/>
      <c r="F40" s="195"/>
      <c r="G40" s="195"/>
      <c r="H40" s="195"/>
    </row>
    <row r="41" spans="2:8" x14ac:dyDescent="0.25">
      <c r="B41" s="214" t="s">
        <v>42</v>
      </c>
      <c r="C41" s="215"/>
      <c r="D41" s="220" t="s">
        <v>43</v>
      </c>
      <c r="E41" s="220" t="s">
        <v>44</v>
      </c>
      <c r="F41" s="220" t="s">
        <v>45</v>
      </c>
      <c r="G41" s="220" t="s">
        <v>46</v>
      </c>
      <c r="H41" s="220" t="s">
        <v>47</v>
      </c>
    </row>
    <row r="42" spans="2:8" x14ac:dyDescent="0.25">
      <c r="B42" s="216"/>
      <c r="C42" s="217"/>
      <c r="D42" s="221"/>
      <c r="E42" s="221"/>
      <c r="F42" s="221"/>
      <c r="G42" s="221"/>
      <c r="H42" s="221"/>
    </row>
    <row r="43" spans="2:8" x14ac:dyDescent="0.25">
      <c r="B43" s="218"/>
      <c r="C43" s="219"/>
      <c r="D43" s="222"/>
      <c r="E43" s="222"/>
      <c r="F43" s="222"/>
      <c r="G43" s="222"/>
      <c r="H43" s="222"/>
    </row>
    <row r="44" spans="2:8" x14ac:dyDescent="0.25">
      <c r="B44" s="177" t="s">
        <v>48</v>
      </c>
      <c r="C44" s="179"/>
      <c r="D44" s="13"/>
      <c r="E44" s="10"/>
      <c r="F44" s="123">
        <f>F45+F46+F47</f>
        <v>207928.12</v>
      </c>
      <c r="G44" s="123"/>
      <c r="H44" s="123">
        <f t="shared" ref="H44" si="0">H45+H46+H47</f>
        <v>149896.13</v>
      </c>
    </row>
    <row r="45" spans="2:8" x14ac:dyDescent="0.25">
      <c r="B45" s="174" t="s">
        <v>33</v>
      </c>
      <c r="C45" s="175"/>
      <c r="D45" s="24">
        <v>2014</v>
      </c>
      <c r="E45" s="10"/>
      <c r="F45" s="105">
        <f>E31</f>
        <v>67607.34</v>
      </c>
      <c r="G45" s="112"/>
      <c r="H45" s="105">
        <f>34161.2-8582.7</f>
        <v>25578.499999999996</v>
      </c>
    </row>
    <row r="46" spans="2:8" x14ac:dyDescent="0.25">
      <c r="B46" s="210" t="s">
        <v>49</v>
      </c>
      <c r="C46" s="211"/>
      <c r="D46" s="88">
        <v>2014</v>
      </c>
      <c r="E46" s="10"/>
      <c r="F46" s="105">
        <v>85885</v>
      </c>
      <c r="G46" s="112"/>
      <c r="H46" s="105">
        <f>85868.7-11047.47</f>
        <v>74821.23</v>
      </c>
    </row>
    <row r="47" spans="2:8" x14ac:dyDescent="0.25">
      <c r="B47" s="174" t="s">
        <v>35</v>
      </c>
      <c r="C47" s="175"/>
      <c r="D47" s="88">
        <v>2014</v>
      </c>
      <c r="E47" s="10"/>
      <c r="F47" s="105">
        <f>E33</f>
        <v>54435.78</v>
      </c>
      <c r="G47" s="112"/>
      <c r="H47" s="105">
        <f>56489.6-6993.2</f>
        <v>49496.4</v>
      </c>
    </row>
    <row r="48" spans="2:8" hidden="1" x14ac:dyDescent="0.25">
      <c r="B48" s="174" t="s">
        <v>36</v>
      </c>
      <c r="C48" s="175"/>
      <c r="D48" s="88"/>
      <c r="E48" s="10"/>
      <c r="F48" s="105"/>
      <c r="G48" s="112"/>
      <c r="H48" s="105"/>
    </row>
    <row r="49" spans="2:8" x14ac:dyDescent="0.25">
      <c r="B49" s="202" t="s">
        <v>65</v>
      </c>
      <c r="C49" s="203"/>
      <c r="D49" s="88"/>
      <c r="E49" s="10"/>
      <c r="F49" s="113"/>
      <c r="G49" s="112"/>
      <c r="H49" s="113"/>
    </row>
    <row r="50" spans="2:8" ht="30.75" customHeight="1" x14ac:dyDescent="0.25">
      <c r="B50" s="174" t="s">
        <v>66</v>
      </c>
      <c r="C50" s="175"/>
      <c r="D50" s="149" t="s">
        <v>266</v>
      </c>
      <c r="E50" s="149"/>
      <c r="F50" s="10"/>
      <c r="G50" s="149" t="s">
        <v>267</v>
      </c>
      <c r="H50" s="10"/>
    </row>
    <row r="51" spans="2:8" ht="64.5" customHeight="1" x14ac:dyDescent="0.25">
      <c r="B51" s="208" t="s">
        <v>67</v>
      </c>
      <c r="C51" s="209"/>
      <c r="D51" s="150" t="s">
        <v>266</v>
      </c>
      <c r="E51" s="150" t="s">
        <v>268</v>
      </c>
      <c r="F51" s="151">
        <v>8795.3799999999992</v>
      </c>
      <c r="G51" s="150" t="s">
        <v>275</v>
      </c>
      <c r="H51" s="151">
        <v>8795.3799999999992</v>
      </c>
    </row>
    <row r="52" spans="2:8" x14ac:dyDescent="0.25">
      <c r="B52" s="208" t="s">
        <v>269</v>
      </c>
      <c r="C52" s="209"/>
      <c r="D52" s="108" t="s">
        <v>270</v>
      </c>
      <c r="E52" s="108" t="s">
        <v>271</v>
      </c>
      <c r="F52" s="152">
        <v>2231</v>
      </c>
      <c r="G52" s="149" t="s">
        <v>267</v>
      </c>
      <c r="H52" s="152">
        <v>2421.33</v>
      </c>
    </row>
    <row r="53" spans="2:8" x14ac:dyDescent="0.25">
      <c r="B53" s="208" t="s">
        <v>68</v>
      </c>
      <c r="C53" s="209"/>
      <c r="D53" s="108" t="s">
        <v>272</v>
      </c>
      <c r="E53" s="108" t="s">
        <v>271</v>
      </c>
      <c r="F53" s="152">
        <f>1100+3361.21</f>
        <v>4461.21</v>
      </c>
      <c r="G53" s="149" t="s">
        <v>267</v>
      </c>
      <c r="H53" s="152">
        <f>834.32+3232.36</f>
        <v>4066.6800000000003</v>
      </c>
    </row>
    <row r="54" spans="2:8" ht="16.5" customHeight="1" x14ac:dyDescent="0.25">
      <c r="B54" s="208" t="s">
        <v>273</v>
      </c>
      <c r="C54" s="209"/>
      <c r="D54" s="153"/>
      <c r="E54" s="108"/>
      <c r="F54" s="154"/>
      <c r="G54" s="108"/>
      <c r="H54" s="154"/>
    </row>
    <row r="55" spans="2:8" x14ac:dyDescent="0.25">
      <c r="B55" s="239" t="s">
        <v>274</v>
      </c>
      <c r="C55" s="240"/>
      <c r="D55" s="108" t="s">
        <v>272</v>
      </c>
      <c r="E55" s="155" t="s">
        <v>275</v>
      </c>
      <c r="F55" s="156">
        <v>276561.83</v>
      </c>
      <c r="G55" s="155" t="s">
        <v>275</v>
      </c>
      <c r="H55" s="156">
        <v>276561.83</v>
      </c>
    </row>
    <row r="56" spans="2:8" x14ac:dyDescent="0.25">
      <c r="B56" s="239" t="s">
        <v>276</v>
      </c>
      <c r="C56" s="240"/>
      <c r="D56" s="108" t="s">
        <v>272</v>
      </c>
      <c r="E56" s="108"/>
      <c r="F56" s="156"/>
      <c r="G56" s="155"/>
      <c r="H56" s="156"/>
    </row>
    <row r="57" spans="2:8" x14ac:dyDescent="0.25">
      <c r="B57" s="239" t="s">
        <v>277</v>
      </c>
      <c r="C57" s="240"/>
      <c r="D57" s="108" t="s">
        <v>272</v>
      </c>
      <c r="E57" s="108"/>
      <c r="F57" s="157"/>
      <c r="G57" s="155"/>
      <c r="H57" s="156"/>
    </row>
    <row r="58" spans="2:8" x14ac:dyDescent="0.25">
      <c r="B58" s="239" t="s">
        <v>278</v>
      </c>
      <c r="C58" s="240"/>
      <c r="D58" s="108" t="s">
        <v>272</v>
      </c>
      <c r="E58" s="150"/>
      <c r="F58" s="158"/>
      <c r="G58" s="159"/>
      <c r="H58" s="158"/>
    </row>
    <row r="59" spans="2:8" x14ac:dyDescent="0.25">
      <c r="B59" s="241" t="s">
        <v>279</v>
      </c>
      <c r="C59" s="242"/>
      <c r="D59" s="108" t="s">
        <v>272</v>
      </c>
      <c r="E59" s="150"/>
      <c r="F59" s="160"/>
      <c r="G59" s="159"/>
      <c r="H59" s="158"/>
    </row>
    <row r="60" spans="2:8" x14ac:dyDescent="0.25">
      <c r="B60" s="208" t="s">
        <v>69</v>
      </c>
      <c r="C60" s="209"/>
      <c r="D60" s="108" t="s">
        <v>272</v>
      </c>
      <c r="E60" s="161" t="s">
        <v>345</v>
      </c>
      <c r="F60" s="152">
        <v>88570</v>
      </c>
      <c r="G60" s="161" t="s">
        <v>345</v>
      </c>
      <c r="H60" s="152">
        <v>88570</v>
      </c>
    </row>
    <row r="61" spans="2:8" x14ac:dyDescent="0.25">
      <c r="B61" s="208" t="s">
        <v>280</v>
      </c>
      <c r="C61" s="209"/>
      <c r="D61" s="108" t="s">
        <v>272</v>
      </c>
      <c r="E61" s="108"/>
      <c r="F61" s="154"/>
      <c r="G61" s="108"/>
      <c r="H61" s="152"/>
    </row>
    <row r="62" spans="2:8" x14ac:dyDescent="0.25">
      <c r="B62" s="208" t="s">
        <v>281</v>
      </c>
      <c r="C62" s="209"/>
      <c r="D62" s="150"/>
      <c r="E62" s="150"/>
      <c r="F62" s="151"/>
      <c r="G62" s="150"/>
      <c r="H62" s="151"/>
    </row>
    <row r="63" spans="2:8" x14ac:dyDescent="0.25">
      <c r="B63" s="208" t="s">
        <v>282</v>
      </c>
      <c r="C63" s="209"/>
      <c r="D63" s="153"/>
      <c r="E63" s="108"/>
      <c r="F63" s="154"/>
      <c r="G63" s="108"/>
      <c r="H63" s="154"/>
    </row>
    <row r="64" spans="2:8" x14ac:dyDescent="0.25">
      <c r="B64" s="208" t="s">
        <v>305</v>
      </c>
      <c r="C64" s="209"/>
      <c r="D64" s="150"/>
      <c r="E64" s="150" t="s">
        <v>346</v>
      </c>
      <c r="F64" s="151">
        <v>1260</v>
      </c>
      <c r="G64" s="150" t="s">
        <v>346</v>
      </c>
      <c r="H64" s="151">
        <v>1260</v>
      </c>
    </row>
    <row r="65" spans="2:11" ht="17.25" customHeight="1" x14ac:dyDescent="0.25">
      <c r="B65" s="243" t="s">
        <v>50</v>
      </c>
      <c r="C65" s="244"/>
      <c r="D65" s="108"/>
      <c r="E65" s="108"/>
      <c r="F65" s="162"/>
      <c r="G65" s="163"/>
      <c r="H65" s="162"/>
    </row>
    <row r="66" spans="2:11" ht="30" customHeight="1" x14ac:dyDescent="0.25">
      <c r="B66" s="208" t="s">
        <v>51</v>
      </c>
      <c r="C66" s="209"/>
      <c r="D66" s="153" t="s">
        <v>284</v>
      </c>
      <c r="E66" s="108"/>
      <c r="F66" s="154"/>
      <c r="G66" s="108" t="s">
        <v>271</v>
      </c>
      <c r="H66" s="154"/>
    </row>
    <row r="67" spans="2:11" ht="33.75" customHeight="1" x14ac:dyDescent="0.25">
      <c r="B67" s="208" t="s">
        <v>52</v>
      </c>
      <c r="C67" s="209"/>
      <c r="D67" s="108" t="s">
        <v>285</v>
      </c>
      <c r="E67" s="108"/>
      <c r="F67" s="154"/>
      <c r="G67" s="108" t="s">
        <v>271</v>
      </c>
      <c r="H67" s="154"/>
    </row>
    <row r="68" spans="2:11" ht="43.5" customHeight="1" x14ac:dyDescent="0.25">
      <c r="B68" s="208" t="s">
        <v>53</v>
      </c>
      <c r="C68" s="209"/>
      <c r="D68" s="108" t="s">
        <v>286</v>
      </c>
      <c r="E68" s="108"/>
      <c r="F68" s="154"/>
      <c r="G68" s="108" t="s">
        <v>271</v>
      </c>
      <c r="H68" s="154"/>
    </row>
    <row r="69" spans="2:11" x14ac:dyDescent="0.25">
      <c r="B69" s="208" t="s">
        <v>54</v>
      </c>
      <c r="C69" s="209"/>
      <c r="D69" s="150" t="s">
        <v>266</v>
      </c>
      <c r="E69" s="150" t="s">
        <v>271</v>
      </c>
      <c r="F69" s="151">
        <v>6576.28</v>
      </c>
      <c r="G69" s="150" t="s">
        <v>271</v>
      </c>
      <c r="H69" s="151">
        <v>6335.08</v>
      </c>
    </row>
    <row r="70" spans="2:11" x14ac:dyDescent="0.25">
      <c r="B70" s="208" t="s">
        <v>55</v>
      </c>
      <c r="C70" s="209"/>
      <c r="D70" s="108" t="s">
        <v>266</v>
      </c>
      <c r="E70" s="108" t="s">
        <v>347</v>
      </c>
      <c r="F70" s="152">
        <v>18788</v>
      </c>
      <c r="G70" s="108"/>
      <c r="H70" s="152">
        <f>1352.25+3152.87</f>
        <v>4505.12</v>
      </c>
    </row>
    <row r="71" spans="2:11" x14ac:dyDescent="0.25">
      <c r="B71" s="208" t="s">
        <v>56</v>
      </c>
      <c r="C71" s="209"/>
      <c r="D71" s="108" t="s">
        <v>266</v>
      </c>
      <c r="E71" s="108" t="s">
        <v>271</v>
      </c>
      <c r="F71" s="152">
        <v>14369.91</v>
      </c>
      <c r="G71" s="108" t="s">
        <v>271</v>
      </c>
      <c r="H71" s="152">
        <v>14369.91</v>
      </c>
    </row>
    <row r="72" spans="2:11" x14ac:dyDescent="0.25">
      <c r="B72" s="208" t="s">
        <v>57</v>
      </c>
      <c r="C72" s="209"/>
      <c r="D72" s="108" t="s">
        <v>266</v>
      </c>
      <c r="E72" s="108"/>
      <c r="F72" s="154"/>
      <c r="G72" s="108" t="s">
        <v>271</v>
      </c>
      <c r="H72" s="154"/>
      <c r="K72" s="5"/>
    </row>
    <row r="73" spans="2:11" x14ac:dyDescent="0.25">
      <c r="B73" s="208" t="s">
        <v>58</v>
      </c>
      <c r="C73" s="209"/>
      <c r="D73" s="108" t="s">
        <v>266</v>
      </c>
      <c r="E73" s="108"/>
      <c r="F73" s="164"/>
      <c r="G73" s="108" t="s">
        <v>271</v>
      </c>
      <c r="H73" s="164"/>
    </row>
    <row r="74" spans="2:11" x14ac:dyDescent="0.25">
      <c r="B74" s="208" t="s">
        <v>282</v>
      </c>
      <c r="C74" s="209"/>
      <c r="D74" s="108"/>
      <c r="E74" s="108"/>
      <c r="F74" s="154"/>
      <c r="G74" s="108"/>
      <c r="H74" s="154"/>
    </row>
    <row r="75" spans="2:11" ht="20.25" customHeight="1" x14ac:dyDescent="0.25">
      <c r="B75" s="243" t="s">
        <v>59</v>
      </c>
      <c r="C75" s="244"/>
      <c r="D75" s="108"/>
      <c r="E75" s="108"/>
      <c r="F75" s="162"/>
      <c r="G75" s="108"/>
      <c r="H75" s="162"/>
    </row>
    <row r="76" spans="2:11" ht="30" customHeight="1" x14ac:dyDescent="0.25">
      <c r="B76" s="208" t="s">
        <v>60</v>
      </c>
      <c r="C76" s="209"/>
      <c r="D76" s="108" t="s">
        <v>272</v>
      </c>
      <c r="E76" s="108"/>
      <c r="F76" s="154"/>
      <c r="G76" s="108" t="s">
        <v>271</v>
      </c>
      <c r="H76" s="154"/>
    </row>
    <row r="77" spans="2:11" ht="39.75" customHeight="1" x14ac:dyDescent="0.25">
      <c r="B77" s="208" t="s">
        <v>61</v>
      </c>
      <c r="C77" s="209"/>
      <c r="D77" s="108" t="s">
        <v>270</v>
      </c>
      <c r="E77" s="108"/>
      <c r="F77" s="154"/>
      <c r="G77" s="108" t="s">
        <v>271</v>
      </c>
      <c r="H77" s="154"/>
    </row>
    <row r="78" spans="2:11" x14ac:dyDescent="0.25">
      <c r="B78" s="208" t="s">
        <v>62</v>
      </c>
      <c r="C78" s="209"/>
      <c r="D78" s="150" t="s">
        <v>266</v>
      </c>
      <c r="E78" s="150" t="s">
        <v>271</v>
      </c>
      <c r="F78" s="151">
        <f>7041.27+4968.74+3454.21</f>
        <v>15464.220000000001</v>
      </c>
      <c r="G78" s="150" t="s">
        <v>271</v>
      </c>
      <c r="H78" s="151">
        <f>7107.69+4975.39+3482.77</f>
        <v>15565.85</v>
      </c>
    </row>
    <row r="79" spans="2:11" x14ac:dyDescent="0.25">
      <c r="B79" s="208" t="s">
        <v>290</v>
      </c>
      <c r="C79" s="209"/>
      <c r="D79" s="108" t="s">
        <v>291</v>
      </c>
      <c r="E79" s="161" t="s">
        <v>348</v>
      </c>
      <c r="F79" s="152">
        <f>3357.39+16016+6536.42</f>
        <v>25909.809999999998</v>
      </c>
      <c r="G79" s="108" t="s">
        <v>349</v>
      </c>
      <c r="H79" s="152">
        <f>3357.39+3953.33+3070.95</f>
        <v>10381.669999999998</v>
      </c>
    </row>
    <row r="80" spans="2:11" x14ac:dyDescent="0.25">
      <c r="B80" s="208" t="s">
        <v>282</v>
      </c>
      <c r="C80" s="209"/>
      <c r="D80" s="108"/>
      <c r="E80" s="108"/>
      <c r="F80" s="154"/>
      <c r="G80" s="108"/>
      <c r="H80" s="152"/>
    </row>
    <row r="81" spans="2:8" x14ac:dyDescent="0.25">
      <c r="B81" s="243" t="s">
        <v>63</v>
      </c>
      <c r="C81" s="244"/>
      <c r="D81" s="153"/>
      <c r="E81" s="108" t="s">
        <v>271</v>
      </c>
      <c r="F81" s="152">
        <v>13003.97</v>
      </c>
      <c r="G81" s="108" t="s">
        <v>271</v>
      </c>
      <c r="H81" s="152">
        <v>13003.97</v>
      </c>
    </row>
    <row r="82" spans="2:8" x14ac:dyDescent="0.25">
      <c r="B82" s="243" t="s">
        <v>64</v>
      </c>
      <c r="C82" s="244"/>
      <c r="D82" s="108"/>
      <c r="E82" s="108" t="s">
        <v>271</v>
      </c>
      <c r="F82" s="152">
        <v>11026.89</v>
      </c>
      <c r="G82" s="108" t="s">
        <v>271</v>
      </c>
      <c r="H82" s="152">
        <v>10782.86</v>
      </c>
    </row>
    <row r="83" spans="2:8" x14ac:dyDescent="0.25">
      <c r="B83" s="243" t="s">
        <v>294</v>
      </c>
      <c r="C83" s="244"/>
      <c r="D83" s="108"/>
      <c r="E83" s="108"/>
      <c r="F83" s="162"/>
      <c r="G83" s="163"/>
      <c r="H83" s="162"/>
    </row>
    <row r="84" spans="2:8" x14ac:dyDescent="0.25">
      <c r="B84" s="208" t="s">
        <v>295</v>
      </c>
      <c r="C84" s="209"/>
      <c r="D84" s="153" t="s">
        <v>296</v>
      </c>
      <c r="E84" s="108"/>
      <c r="F84" s="152"/>
      <c r="G84" s="108"/>
      <c r="H84" s="152"/>
    </row>
    <row r="85" spans="2:8" x14ac:dyDescent="0.25">
      <c r="B85" s="208" t="s">
        <v>71</v>
      </c>
      <c r="C85" s="209"/>
      <c r="D85" s="153" t="s">
        <v>297</v>
      </c>
      <c r="E85" s="108"/>
      <c r="F85" s="152"/>
      <c r="G85" s="108"/>
      <c r="H85" s="152"/>
    </row>
    <row r="86" spans="2:8" x14ac:dyDescent="0.25">
      <c r="B86" s="208" t="s">
        <v>72</v>
      </c>
      <c r="C86" s="209"/>
      <c r="D86" s="108" t="s">
        <v>299</v>
      </c>
      <c r="E86" s="108" t="s">
        <v>350</v>
      </c>
      <c r="F86" s="152">
        <v>1561.31</v>
      </c>
      <c r="G86" s="108" t="s">
        <v>350</v>
      </c>
      <c r="H86" s="152">
        <v>1561.31</v>
      </c>
    </row>
    <row r="87" spans="2:8" x14ac:dyDescent="0.25">
      <c r="B87" s="208" t="s">
        <v>301</v>
      </c>
      <c r="C87" s="209"/>
      <c r="D87" s="108" t="s">
        <v>291</v>
      </c>
      <c r="E87" s="108" t="s">
        <v>271</v>
      </c>
      <c r="F87" s="152">
        <v>12282.36</v>
      </c>
      <c r="G87" s="108" t="s">
        <v>271</v>
      </c>
      <c r="H87" s="161">
        <v>12282.36</v>
      </c>
    </row>
    <row r="88" spans="2:8" x14ac:dyDescent="0.25">
      <c r="B88" s="208" t="s">
        <v>282</v>
      </c>
      <c r="C88" s="209"/>
      <c r="D88" s="108"/>
      <c r="E88" s="108"/>
      <c r="F88" s="154"/>
      <c r="G88" s="108"/>
      <c r="H88" s="154"/>
    </row>
    <row r="89" spans="2:8" x14ac:dyDescent="0.25">
      <c r="B89" s="208" t="s">
        <v>302</v>
      </c>
      <c r="C89" s="209"/>
      <c r="D89" s="108" t="s">
        <v>291</v>
      </c>
      <c r="E89" s="108" t="s">
        <v>351</v>
      </c>
      <c r="F89" s="152">
        <v>5447.02</v>
      </c>
      <c r="G89" s="108" t="s">
        <v>351</v>
      </c>
      <c r="H89" s="152">
        <v>4480.95</v>
      </c>
    </row>
    <row r="90" spans="2:8" x14ac:dyDescent="0.25">
      <c r="B90" s="208" t="s">
        <v>311</v>
      </c>
      <c r="C90" s="209"/>
      <c r="D90" s="108"/>
      <c r="E90" s="108" t="s">
        <v>344</v>
      </c>
      <c r="F90" s="152">
        <v>3240</v>
      </c>
      <c r="G90" s="108" t="s">
        <v>344</v>
      </c>
      <c r="H90" s="152">
        <v>3240</v>
      </c>
    </row>
    <row r="91" spans="2:8" ht="38.25" customHeight="1" x14ac:dyDescent="0.25">
      <c r="B91" s="208" t="s">
        <v>320</v>
      </c>
      <c r="C91" s="209"/>
      <c r="D91" s="108"/>
      <c r="E91" s="108"/>
      <c r="F91" s="152">
        <v>67508.22</v>
      </c>
      <c r="G91" s="108"/>
      <c r="H91" s="152">
        <v>67508.22</v>
      </c>
    </row>
    <row r="92" spans="2:8" x14ac:dyDescent="0.25">
      <c r="B92" s="206" t="s">
        <v>73</v>
      </c>
      <c r="C92" s="207"/>
      <c r="D92" s="108"/>
      <c r="E92" s="108"/>
      <c r="F92" s="165">
        <v>508000</v>
      </c>
      <c r="G92" s="165"/>
      <c r="H92" s="165">
        <f>536332-40598.3</f>
        <v>495733.7</v>
      </c>
    </row>
    <row r="93" spans="2:8" x14ac:dyDescent="0.25">
      <c r="B93" s="9"/>
      <c r="C93" s="9"/>
      <c r="D93" s="5"/>
      <c r="E93" s="5"/>
      <c r="F93" s="15"/>
      <c r="G93" s="5"/>
      <c r="H93" s="15"/>
    </row>
    <row r="94" spans="2:8" x14ac:dyDescent="0.25">
      <c r="B94" s="201" t="s">
        <v>177</v>
      </c>
      <c r="C94" s="201"/>
      <c r="D94" s="201"/>
      <c r="E94" s="201"/>
      <c r="F94" s="201"/>
      <c r="G94" s="201"/>
    </row>
    <row r="95" spans="2:8" ht="63" customHeight="1" x14ac:dyDescent="0.25">
      <c r="B95" s="194" t="s">
        <v>29</v>
      </c>
      <c r="C95" s="194"/>
      <c r="D95" s="91" t="s">
        <v>30</v>
      </c>
      <c r="E95" s="91" t="s">
        <v>31</v>
      </c>
      <c r="F95" s="89" t="s">
        <v>82</v>
      </c>
      <c r="G95" s="89" t="s">
        <v>32</v>
      </c>
    </row>
    <row r="96" spans="2:8" x14ac:dyDescent="0.25">
      <c r="B96" s="181" t="s">
        <v>83</v>
      </c>
      <c r="C96" s="183"/>
      <c r="D96" s="88">
        <v>37607.56</v>
      </c>
      <c r="E96" s="88">
        <v>24236.02</v>
      </c>
      <c r="F96" s="88">
        <f>E96</f>
        <v>24236.02</v>
      </c>
      <c r="G96" s="85">
        <f>24642.07-9401.89</f>
        <v>15240.18</v>
      </c>
    </row>
    <row r="97" spans="2:8" x14ac:dyDescent="0.25">
      <c r="B97" s="181" t="s">
        <v>84</v>
      </c>
      <c r="C97" s="183"/>
      <c r="D97" s="88">
        <f>21263.37-177.67+5759-49.33+6574.58-51.58+11381.26</f>
        <v>44699.63</v>
      </c>
      <c r="E97" s="88">
        <f>19829.84+5450.67+5947.65+10549.89</f>
        <v>41778.050000000003</v>
      </c>
      <c r="F97" s="88">
        <f t="shared" ref="F97:F104" si="1">E97</f>
        <v>41778.050000000003</v>
      </c>
      <c r="G97" s="85">
        <f>16486.87+4489.54+4172.57-5263.3-1425.52-1627.4+1908.32</f>
        <v>18741.079999999998</v>
      </c>
    </row>
    <row r="98" spans="2:8" ht="30" customHeight="1" x14ac:dyDescent="0.25">
      <c r="B98" s="174" t="s">
        <v>85</v>
      </c>
      <c r="C98" s="175"/>
      <c r="D98" s="88">
        <v>13169.88</v>
      </c>
      <c r="E98" s="88">
        <v>12468.31</v>
      </c>
      <c r="F98" s="88">
        <f t="shared" si="1"/>
        <v>12468.31</v>
      </c>
      <c r="G98" s="85">
        <f>8920.51-3292.47</f>
        <v>5628.0400000000009</v>
      </c>
    </row>
    <row r="99" spans="2:8" ht="30" customHeight="1" x14ac:dyDescent="0.25">
      <c r="B99" s="174" t="s">
        <v>86</v>
      </c>
      <c r="C99" s="175"/>
      <c r="D99" s="88">
        <v>3365.92</v>
      </c>
      <c r="E99" s="88">
        <v>3187.05</v>
      </c>
      <c r="F99" s="88">
        <f t="shared" si="1"/>
        <v>3187.05</v>
      </c>
      <c r="G99" s="85">
        <f>2178.4-841.48</f>
        <v>1336.92</v>
      </c>
    </row>
    <row r="100" spans="2:8" x14ac:dyDescent="0.25">
      <c r="B100" s="174" t="s">
        <v>87</v>
      </c>
      <c r="C100" s="175"/>
      <c r="D100" s="88">
        <v>48728.84</v>
      </c>
      <c r="E100" s="88">
        <f>617.01+45302.93</f>
        <v>45919.94</v>
      </c>
      <c r="F100" s="88">
        <f t="shared" si="1"/>
        <v>45919.94</v>
      </c>
      <c r="G100" s="85">
        <f>9471.1+27270.5-12182.21</f>
        <v>24559.39</v>
      </c>
    </row>
    <row r="101" spans="2:8" x14ac:dyDescent="0.25">
      <c r="B101" s="174" t="s">
        <v>88</v>
      </c>
      <c r="C101" s="175"/>
      <c r="D101" s="88">
        <v>2341.1999999999998</v>
      </c>
      <c r="E101" s="88">
        <v>2217.08</v>
      </c>
      <c r="F101" s="88">
        <f t="shared" si="1"/>
        <v>2217.08</v>
      </c>
      <c r="G101" s="85">
        <f>1605.75-585.3</f>
        <v>1020.45</v>
      </c>
    </row>
    <row r="102" spans="2:8" x14ac:dyDescent="0.25">
      <c r="B102" s="174" t="s">
        <v>150</v>
      </c>
      <c r="C102" s="175"/>
      <c r="D102" s="88">
        <v>10710</v>
      </c>
      <c r="E102" s="88">
        <f>10112.58+22.88</f>
        <v>10135.459999999999</v>
      </c>
      <c r="F102" s="88">
        <f t="shared" si="1"/>
        <v>10135.459999999999</v>
      </c>
      <c r="G102" s="85">
        <f>6893.62+174.91-2590</f>
        <v>4478.53</v>
      </c>
    </row>
    <row r="103" spans="2:8" x14ac:dyDescent="0.25">
      <c r="B103" s="174" t="s">
        <v>89</v>
      </c>
      <c r="C103" s="175"/>
      <c r="D103" s="88">
        <v>8400</v>
      </c>
      <c r="E103" s="88">
        <v>8033.38</v>
      </c>
      <c r="F103" s="88">
        <f t="shared" si="1"/>
        <v>8033.38</v>
      </c>
      <c r="G103" s="85">
        <f>5405.63-2100</f>
        <v>3305.63</v>
      </c>
    </row>
    <row r="104" spans="2:8" ht="30" x14ac:dyDescent="0.25">
      <c r="B104" s="86" t="s">
        <v>81</v>
      </c>
      <c r="C104" s="87"/>
      <c r="D104" s="88">
        <v>14633.2</v>
      </c>
      <c r="E104" s="88">
        <f>13905.79+2742.03+6.41+61.62</f>
        <v>16715.849999999999</v>
      </c>
      <c r="F104" s="88">
        <f t="shared" si="1"/>
        <v>16715.849999999999</v>
      </c>
      <c r="G104" s="85">
        <f>10488.26-1.13+1397.09+93.2+949.99-3658.3</f>
        <v>9269.11</v>
      </c>
    </row>
    <row r="105" spans="2:8" ht="18.75" customHeight="1" x14ac:dyDescent="0.25">
      <c r="B105" s="202" t="s">
        <v>90</v>
      </c>
      <c r="C105" s="203"/>
      <c r="D105" s="90">
        <f>SUM(D96:D104)</f>
        <v>183656.23000000004</v>
      </c>
      <c r="E105" s="90">
        <f>SUM(E96:E104)</f>
        <v>164691.14000000001</v>
      </c>
      <c r="F105" s="88">
        <f>E105</f>
        <v>164691.14000000001</v>
      </c>
      <c r="G105" s="90">
        <f>SUM(G96:G104)</f>
        <v>83579.33</v>
      </c>
    </row>
    <row r="106" spans="2:8" x14ac:dyDescent="0.25">
      <c r="B106" s="202" t="s">
        <v>91</v>
      </c>
      <c r="C106" s="203"/>
      <c r="D106" s="96">
        <f>D105+F117+E38+C140</f>
        <v>1428240.5000000002</v>
      </c>
      <c r="E106" s="96">
        <f>E105+G117+F38+D140</f>
        <v>1253631.8700000003</v>
      </c>
      <c r="F106" s="96">
        <f>E106</f>
        <v>1253631.8700000003</v>
      </c>
      <c r="G106" s="96">
        <f>G38+G105+H117+F140</f>
        <v>495859.68</v>
      </c>
    </row>
    <row r="107" spans="2:8" x14ac:dyDescent="0.25">
      <c r="B107" s="16"/>
      <c r="C107" s="16"/>
      <c r="D107" s="16"/>
      <c r="E107" s="17"/>
      <c r="F107" s="17"/>
      <c r="G107" s="17"/>
      <c r="H107" s="17"/>
    </row>
    <row r="108" spans="2:8" x14ac:dyDescent="0.25">
      <c r="B108" s="204" t="s">
        <v>176</v>
      </c>
      <c r="C108" s="201"/>
      <c r="D108" s="201"/>
      <c r="E108" s="201"/>
      <c r="F108" s="201"/>
    </row>
    <row r="109" spans="2:8" ht="38.25" customHeight="1" x14ac:dyDescent="0.25">
      <c r="B109" s="194" t="s">
        <v>29</v>
      </c>
      <c r="C109" s="194" t="s">
        <v>93</v>
      </c>
      <c r="D109" s="194"/>
      <c r="E109" s="205" t="s">
        <v>94</v>
      </c>
      <c r="F109" s="194" t="s">
        <v>30</v>
      </c>
      <c r="G109" s="194" t="s">
        <v>31</v>
      </c>
      <c r="H109" s="195" t="s">
        <v>95</v>
      </c>
    </row>
    <row r="110" spans="2:8" ht="35.25" customHeight="1" x14ac:dyDescent="0.25">
      <c r="B110" s="194"/>
      <c r="C110" s="91" t="s">
        <v>96</v>
      </c>
      <c r="D110" s="19" t="s">
        <v>97</v>
      </c>
      <c r="E110" s="205"/>
      <c r="F110" s="194"/>
      <c r="G110" s="194"/>
      <c r="H110" s="195"/>
    </row>
    <row r="111" spans="2:8" x14ac:dyDescent="0.25">
      <c r="B111" s="10" t="s">
        <v>98</v>
      </c>
      <c r="C111" s="88">
        <v>1400.08</v>
      </c>
      <c r="D111" s="42">
        <v>1439.26</v>
      </c>
      <c r="E111" s="110">
        <v>190.23</v>
      </c>
      <c r="F111" s="88">
        <f>-1100.96+273823.87+1100.96</f>
        <v>273823.87</v>
      </c>
      <c r="G111" s="88">
        <f>142.79+150278.8</f>
        <v>150421.59</v>
      </c>
      <c r="H111" s="88">
        <f>586.86+193009.04-111358.68</f>
        <v>82237.22</v>
      </c>
    </row>
    <row r="112" spans="2:8" x14ac:dyDescent="0.25">
      <c r="B112" s="10" t="s">
        <v>147</v>
      </c>
      <c r="C112" s="88">
        <v>22.15</v>
      </c>
      <c r="D112" s="42">
        <v>26.44</v>
      </c>
      <c r="E112" s="110">
        <v>1215.4100000000001</v>
      </c>
      <c r="F112" s="88">
        <f>138729.16-5540.65+4455.54+3044.89+997.78+679.28+31217.18-1157.78</f>
        <v>172425.40000000002</v>
      </c>
      <c r="G112" s="88">
        <f>125659.02+6865.36+1542.76+26378.11</f>
        <v>160445.25</v>
      </c>
      <c r="H112" s="88">
        <f>116044.19+3069.46+696.46+22698.24-35924.19-1081.06-1036.96+1446.21-256.77+315.7-8897.75-236.49</f>
        <v>96837.04</v>
      </c>
    </row>
    <row r="113" spans="2:8" x14ac:dyDescent="0.25">
      <c r="B113" s="10" t="s">
        <v>99</v>
      </c>
      <c r="C113" s="88">
        <v>18.43</v>
      </c>
      <c r="D113" s="42">
        <v>19.22</v>
      </c>
      <c r="E113" s="110">
        <v>1842</v>
      </c>
      <c r="F113" s="88">
        <f>772.16+405.66+34731.41-359.63-68.06</f>
        <v>35481.540000000008</v>
      </c>
      <c r="G113" s="88">
        <f>1458.84+35227.99+174.32</f>
        <v>36861.149999999994</v>
      </c>
      <c r="H113" s="88">
        <f>931.19+32360.22+1943.85+196.67-7749.89-77.71</f>
        <v>27604.33</v>
      </c>
    </row>
    <row r="114" spans="2:8" x14ac:dyDescent="0.25">
      <c r="B114" s="10" t="s">
        <v>100</v>
      </c>
      <c r="C114" s="88">
        <v>12.31</v>
      </c>
      <c r="D114" s="42">
        <v>12.84</v>
      </c>
      <c r="E114" s="110">
        <v>2989.97</v>
      </c>
      <c r="F114" s="88">
        <f>38362.42-577.03-260.01</f>
        <v>37525.379999999997</v>
      </c>
      <c r="G114" s="88">
        <f>36731.64+17</f>
        <v>36748.639999999999</v>
      </c>
      <c r="H114" s="88">
        <f>35060.28-9498.24-166.49</f>
        <v>25395.55</v>
      </c>
    </row>
    <row r="115" spans="2:8" x14ac:dyDescent="0.25">
      <c r="B115" s="10" t="s">
        <v>101</v>
      </c>
      <c r="C115" s="88" t="s">
        <v>145</v>
      </c>
      <c r="D115" s="42" t="s">
        <v>146</v>
      </c>
      <c r="E115" s="110">
        <v>67942.070000000007</v>
      </c>
      <c r="F115" s="88">
        <f>23645.34-39.48+121975.41-18367.04</f>
        <v>127214.23000000001</v>
      </c>
      <c r="G115" s="88">
        <f>20672.4+119619.86+30.7</f>
        <v>140322.96000000002</v>
      </c>
      <c r="H115" s="88">
        <f>18368.37+93369.49+3.73-6409.96-204.69-34472.02+566.75</f>
        <v>71221.669999999984</v>
      </c>
    </row>
    <row r="116" spans="2:8" x14ac:dyDescent="0.25">
      <c r="B116" s="10" t="s">
        <v>102</v>
      </c>
      <c r="C116" s="88">
        <v>2.2999999999999998</v>
      </c>
      <c r="D116" s="42">
        <v>2.39</v>
      </c>
      <c r="E116" s="110">
        <v>5908</v>
      </c>
      <c r="F116" s="88">
        <f>10369.51+977.54</f>
        <v>11347.05</v>
      </c>
      <c r="G116" s="88">
        <v>9165.5300000000007</v>
      </c>
      <c r="H116" s="88">
        <f>6552.15-2761.04-63.79</f>
        <v>3727.3199999999997</v>
      </c>
    </row>
    <row r="117" spans="2:8" x14ac:dyDescent="0.25">
      <c r="B117" s="11" t="s">
        <v>103</v>
      </c>
      <c r="C117" s="90"/>
      <c r="D117" s="42"/>
      <c r="E117" s="4"/>
      <c r="F117" s="90">
        <f>SUM(F111:F116)</f>
        <v>657817.47000000009</v>
      </c>
      <c r="G117" s="90">
        <f>SUM(G111:G116)</f>
        <v>533965.12000000011</v>
      </c>
      <c r="H117" s="90">
        <f>SUM(H111:H116)</f>
        <v>307023.13</v>
      </c>
    </row>
    <row r="118" spans="2:8" x14ac:dyDescent="0.25">
      <c r="B118" s="9"/>
      <c r="C118" s="138"/>
      <c r="D118" s="144"/>
      <c r="E118" s="121"/>
      <c r="F118" s="138"/>
      <c r="G118" s="138"/>
      <c r="H118" s="138"/>
    </row>
    <row r="119" spans="2:8" x14ac:dyDescent="0.25">
      <c r="B119" s="16"/>
      <c r="C119" s="16" t="s">
        <v>244</v>
      </c>
      <c r="D119" s="16"/>
      <c r="E119" s="17"/>
      <c r="F119" s="17"/>
      <c r="G119" s="17"/>
      <c r="H119" s="17"/>
    </row>
    <row r="120" spans="2:8" x14ac:dyDescent="0.25">
      <c r="B120" s="137" t="s">
        <v>228</v>
      </c>
      <c r="C120" s="137" t="s">
        <v>229</v>
      </c>
      <c r="D120" s="137"/>
      <c r="E120" s="131" t="s">
        <v>230</v>
      </c>
      <c r="F120" s="17"/>
      <c r="G120" s="17"/>
      <c r="H120" s="17"/>
    </row>
    <row r="121" spans="2:8" x14ac:dyDescent="0.25">
      <c r="B121" s="133" t="s">
        <v>231</v>
      </c>
      <c r="C121" s="199">
        <v>2</v>
      </c>
      <c r="D121" s="200"/>
      <c r="E121" s="105">
        <v>100</v>
      </c>
      <c r="F121" s="17"/>
      <c r="G121" s="17"/>
      <c r="H121" s="17"/>
    </row>
    <row r="122" spans="2:8" x14ac:dyDescent="0.25">
      <c r="B122" s="133" t="s">
        <v>232</v>
      </c>
      <c r="C122" s="199"/>
      <c r="D122" s="200"/>
      <c r="E122" s="105"/>
      <c r="F122" s="17"/>
      <c r="G122" s="17"/>
      <c r="H122" s="17"/>
    </row>
    <row r="123" spans="2:8" x14ac:dyDescent="0.25">
      <c r="B123" s="133" t="s">
        <v>233</v>
      </c>
      <c r="C123" s="199"/>
      <c r="D123" s="200"/>
      <c r="E123" s="105"/>
      <c r="F123" s="17"/>
      <c r="G123" s="17"/>
      <c r="H123" s="17"/>
    </row>
    <row r="124" spans="2:8" x14ac:dyDescent="0.25">
      <c r="B124" s="133" t="s">
        <v>234</v>
      </c>
      <c r="C124" s="199"/>
      <c r="D124" s="200"/>
      <c r="E124" s="105"/>
      <c r="F124" s="17"/>
      <c r="G124" s="17"/>
      <c r="H124" s="17"/>
    </row>
    <row r="125" spans="2:8" x14ac:dyDescent="0.25">
      <c r="B125" s="133" t="s">
        <v>235</v>
      </c>
      <c r="C125" s="199"/>
      <c r="D125" s="200"/>
      <c r="E125" s="105"/>
      <c r="F125" s="17"/>
      <c r="G125" s="17"/>
      <c r="H125" s="17"/>
    </row>
    <row r="126" spans="2:8" x14ac:dyDescent="0.25">
      <c r="B126" s="133" t="s">
        <v>236</v>
      </c>
      <c r="C126" s="199"/>
      <c r="D126" s="200"/>
      <c r="E126" s="105"/>
      <c r="F126" s="17"/>
      <c r="G126" s="17"/>
      <c r="H126" s="17"/>
    </row>
    <row r="127" spans="2:8" x14ac:dyDescent="0.25">
      <c r="B127" s="133" t="s">
        <v>70</v>
      </c>
      <c r="C127" s="199">
        <v>8</v>
      </c>
      <c r="D127" s="200"/>
      <c r="E127" s="105">
        <v>100</v>
      </c>
      <c r="F127" s="17"/>
      <c r="G127" s="17"/>
      <c r="H127" s="17"/>
    </row>
    <row r="128" spans="2:8" x14ac:dyDescent="0.25">
      <c r="B128" s="133" t="s">
        <v>237</v>
      </c>
      <c r="C128" s="199"/>
      <c r="D128" s="200"/>
      <c r="E128" s="105"/>
      <c r="F128" s="17"/>
      <c r="G128" s="17"/>
      <c r="H128" s="17"/>
    </row>
    <row r="129" spans="2:8" x14ac:dyDescent="0.25">
      <c r="B129" s="133" t="s">
        <v>238</v>
      </c>
      <c r="C129" s="199">
        <v>1</v>
      </c>
      <c r="D129" s="200"/>
      <c r="E129" s="105">
        <v>100</v>
      </c>
      <c r="F129" s="17"/>
      <c r="G129" s="17"/>
      <c r="H129" s="17"/>
    </row>
    <row r="130" spans="2:8" x14ac:dyDescent="0.25">
      <c r="B130" s="133" t="s">
        <v>239</v>
      </c>
      <c r="C130" s="199"/>
      <c r="D130" s="200"/>
      <c r="E130" s="105"/>
      <c r="F130" s="17"/>
      <c r="G130" s="17"/>
      <c r="H130" s="17"/>
    </row>
    <row r="131" spans="2:8" x14ac:dyDescent="0.25">
      <c r="B131" s="133" t="s">
        <v>240</v>
      </c>
      <c r="C131" s="199"/>
      <c r="D131" s="200"/>
      <c r="E131" s="105"/>
      <c r="F131" s="17"/>
      <c r="G131" s="17"/>
      <c r="H131" s="17"/>
    </row>
    <row r="132" spans="2:8" x14ac:dyDescent="0.25">
      <c r="B132" s="133" t="s">
        <v>241</v>
      </c>
      <c r="C132" s="199"/>
      <c r="D132" s="200"/>
      <c r="E132" s="129"/>
      <c r="F132" s="17"/>
      <c r="G132" s="17"/>
      <c r="H132" s="17"/>
    </row>
    <row r="133" spans="2:8" x14ac:dyDescent="0.25">
      <c r="B133" s="133" t="s">
        <v>242</v>
      </c>
      <c r="C133" s="199"/>
      <c r="D133" s="200"/>
      <c r="E133" s="129"/>
      <c r="F133" s="17"/>
      <c r="G133" s="17"/>
      <c r="H133" s="17"/>
    </row>
    <row r="134" spans="2:8" x14ac:dyDescent="0.25">
      <c r="B134" s="133" t="s">
        <v>243</v>
      </c>
      <c r="C134" s="199"/>
      <c r="D134" s="200"/>
      <c r="E134" s="129"/>
      <c r="F134" s="17"/>
      <c r="G134" s="17"/>
      <c r="H134" s="17"/>
    </row>
    <row r="135" spans="2:8" x14ac:dyDescent="0.25">
      <c r="B135" s="139" t="s">
        <v>103</v>
      </c>
      <c r="C135" s="245">
        <f>SUM(C121:C134)</f>
        <v>11</v>
      </c>
      <c r="D135" s="246"/>
      <c r="E135" s="145">
        <v>100</v>
      </c>
      <c r="F135" s="9"/>
      <c r="G135" s="9"/>
      <c r="H135" s="17"/>
    </row>
    <row r="136" spans="2:8" x14ac:dyDescent="0.25">
      <c r="B136" s="12"/>
      <c r="C136" s="12"/>
      <c r="D136" s="9"/>
      <c r="E136" s="9"/>
      <c r="F136" s="9"/>
      <c r="G136" s="9"/>
    </row>
    <row r="137" spans="2:8" ht="44.25" customHeight="1" x14ac:dyDescent="0.25">
      <c r="B137" s="33"/>
      <c r="C137" s="90" t="s">
        <v>30</v>
      </c>
      <c r="D137" s="90" t="s">
        <v>31</v>
      </c>
      <c r="E137" s="89" t="s">
        <v>104</v>
      </c>
      <c r="F137" s="89" t="s">
        <v>32</v>
      </c>
    </row>
    <row r="138" spans="2:8" x14ac:dyDescent="0.25">
      <c r="B138" s="32" t="s">
        <v>105</v>
      </c>
      <c r="C138" s="88">
        <v>62494</v>
      </c>
      <c r="D138" s="88">
        <v>59181.18</v>
      </c>
      <c r="E138" s="88"/>
      <c r="F138" s="85">
        <f>31090.47-15623.5</f>
        <v>15466.970000000001</v>
      </c>
    </row>
    <row r="139" spans="2:8" x14ac:dyDescent="0.25">
      <c r="B139" s="32" t="s">
        <v>106</v>
      </c>
      <c r="C139" s="88">
        <v>9129.56</v>
      </c>
      <c r="D139" s="88">
        <f>99.4+8628.72</f>
        <v>8728.119999999999</v>
      </c>
      <c r="E139" s="88"/>
      <c r="F139" s="85">
        <f>1043.62+15352.18-2282.39</f>
        <v>14113.41</v>
      </c>
    </row>
    <row r="140" spans="2:8" ht="28.5" x14ac:dyDescent="0.25">
      <c r="B140" s="33" t="s">
        <v>178</v>
      </c>
      <c r="C140" s="90">
        <f>SUM(C138:C139)</f>
        <v>71623.56</v>
      </c>
      <c r="D140" s="90">
        <f>SUM(D138:D139)</f>
        <v>67909.3</v>
      </c>
      <c r="E140" s="90"/>
      <c r="F140" s="90">
        <f>SUM(F138:F139)</f>
        <v>29580.38</v>
      </c>
    </row>
    <row r="142" spans="2:8" x14ac:dyDescent="0.25">
      <c r="B142" s="177" t="s">
        <v>108</v>
      </c>
      <c r="C142" s="178"/>
      <c r="D142" s="179"/>
      <c r="E142" s="196">
        <f>G106</f>
        <v>495859.68</v>
      </c>
      <c r="F142" s="197"/>
    </row>
    <row r="144" spans="2:8" x14ac:dyDescent="0.25">
      <c r="B144" s="198" t="s">
        <v>109</v>
      </c>
      <c r="C144" s="198"/>
      <c r="D144" s="198"/>
      <c r="E144" s="193"/>
      <c r="F144" s="193"/>
    </row>
    <row r="145" spans="2:8" x14ac:dyDescent="0.25">
      <c r="B145" s="192" t="s">
        <v>110</v>
      </c>
      <c r="C145" s="192"/>
      <c r="D145" s="192"/>
      <c r="E145" s="193"/>
      <c r="F145" s="193"/>
    </row>
    <row r="146" spans="2:8" x14ac:dyDescent="0.25">
      <c r="B146" s="192" t="s">
        <v>111</v>
      </c>
      <c r="C146" s="192"/>
      <c r="D146" s="192"/>
      <c r="E146" s="193"/>
      <c r="F146" s="193"/>
    </row>
    <row r="147" spans="2:8" x14ac:dyDescent="0.25">
      <c r="B147" s="192" t="s">
        <v>112</v>
      </c>
      <c r="C147" s="192"/>
      <c r="D147" s="192"/>
      <c r="E147" s="193"/>
      <c r="F147" s="193"/>
    </row>
    <row r="148" spans="2:8" x14ac:dyDescent="0.25">
      <c r="B148" s="192" t="s">
        <v>113</v>
      </c>
      <c r="C148" s="192"/>
      <c r="D148" s="192"/>
      <c r="E148" s="193"/>
      <c r="F148" s="193"/>
    </row>
    <row r="150" spans="2:8" x14ac:dyDescent="0.25">
      <c r="B150" s="177" t="s">
        <v>114</v>
      </c>
      <c r="C150" s="178"/>
      <c r="D150" s="179"/>
      <c r="E150" s="193"/>
      <c r="F150" s="193"/>
    </row>
    <row r="152" spans="2:8" hidden="1" x14ac:dyDescent="0.25">
      <c r="B152" s="181" t="s">
        <v>123</v>
      </c>
      <c r="C152" s="183"/>
      <c r="D152" s="88" t="s">
        <v>124</v>
      </c>
      <c r="E152" s="176" t="s">
        <v>122</v>
      </c>
      <c r="F152" s="176"/>
    </row>
    <row r="153" spans="2:8" hidden="1" x14ac:dyDescent="0.25">
      <c r="B153" s="181" t="s">
        <v>125</v>
      </c>
      <c r="C153" s="183"/>
      <c r="D153" s="88" t="s">
        <v>126</v>
      </c>
      <c r="E153" s="176" t="s">
        <v>122</v>
      </c>
      <c r="F153" s="176"/>
    </row>
    <row r="154" spans="2:8" ht="30" hidden="1" customHeight="1" x14ac:dyDescent="0.25">
      <c r="B154" s="174" t="s">
        <v>127</v>
      </c>
      <c r="C154" s="175"/>
      <c r="D154" s="88" t="s">
        <v>128</v>
      </c>
      <c r="E154" s="176" t="s">
        <v>122</v>
      </c>
      <c r="F154" s="176"/>
    </row>
    <row r="155" spans="2:8" ht="30" hidden="1" customHeight="1" x14ac:dyDescent="0.25">
      <c r="B155" s="174" t="s">
        <v>129</v>
      </c>
      <c r="C155" s="175"/>
      <c r="D155" s="88" t="s">
        <v>130</v>
      </c>
      <c r="E155" s="176"/>
      <c r="F155" s="176"/>
    </row>
    <row r="156" spans="2:8" ht="30" hidden="1" x14ac:dyDescent="0.25">
      <c r="B156" s="174" t="s">
        <v>131</v>
      </c>
      <c r="C156" s="175"/>
      <c r="D156" s="24" t="s">
        <v>132</v>
      </c>
      <c r="E156" s="176" t="s">
        <v>133</v>
      </c>
      <c r="F156" s="176"/>
    </row>
    <row r="157" spans="2:8" hidden="1" x14ac:dyDescent="0.25">
      <c r="B157" s="181" t="s">
        <v>134</v>
      </c>
      <c r="C157" s="183"/>
      <c r="D157" s="10" t="s">
        <v>135</v>
      </c>
      <c r="E157" s="176"/>
      <c r="F157" s="176"/>
    </row>
    <row r="158" spans="2:8" ht="30" hidden="1" customHeight="1" x14ac:dyDescent="0.25">
      <c r="B158" s="174" t="s">
        <v>136</v>
      </c>
      <c r="C158" s="175"/>
      <c r="D158" s="10" t="s">
        <v>137</v>
      </c>
      <c r="E158" s="176"/>
      <c r="F158" s="176"/>
    </row>
    <row r="159" spans="2:8" ht="30" hidden="1" customHeight="1" x14ac:dyDescent="0.25">
      <c r="B159" s="174" t="s">
        <v>138</v>
      </c>
      <c r="C159" s="175"/>
      <c r="D159" s="88" t="s">
        <v>139</v>
      </c>
      <c r="E159" s="176"/>
      <c r="F159" s="176"/>
    </row>
    <row r="160" spans="2:8" x14ac:dyDescent="0.25">
      <c r="B160" s="177" t="s">
        <v>74</v>
      </c>
      <c r="C160" s="178"/>
      <c r="D160" s="179"/>
      <c r="E160" s="180">
        <v>1520</v>
      </c>
      <c r="F160" s="180"/>
      <c r="G160" s="25"/>
      <c r="H160" s="25"/>
    </row>
    <row r="161" spans="2:8" x14ac:dyDescent="0.25">
      <c r="B161" s="181" t="s">
        <v>75</v>
      </c>
      <c r="C161" s="182"/>
      <c r="D161" s="183"/>
      <c r="E161" s="176"/>
      <c r="F161" s="176"/>
      <c r="G161" s="26"/>
      <c r="H161" s="26"/>
    </row>
    <row r="162" spans="2:8" x14ac:dyDescent="0.25">
      <c r="B162" s="181" t="s">
        <v>76</v>
      </c>
      <c r="C162" s="182"/>
      <c r="D162" s="183"/>
      <c r="E162" s="184">
        <v>320</v>
      </c>
      <c r="F162" s="184"/>
      <c r="G162" s="27"/>
      <c r="H162" s="27"/>
    </row>
    <row r="163" spans="2:8" x14ac:dyDescent="0.25">
      <c r="B163" s="181" t="s">
        <v>77</v>
      </c>
      <c r="C163" s="182"/>
      <c r="D163" s="183"/>
      <c r="E163" s="184"/>
      <c r="F163" s="184"/>
      <c r="G163" s="27"/>
      <c r="H163" s="27"/>
    </row>
    <row r="164" spans="2:8" x14ac:dyDescent="0.25">
      <c r="B164" s="177" t="s">
        <v>78</v>
      </c>
      <c r="C164" s="178"/>
      <c r="D164" s="179"/>
      <c r="E164" s="180"/>
      <c r="F164" s="180"/>
      <c r="G164" s="25"/>
      <c r="H164" s="25"/>
    </row>
    <row r="165" spans="2:8" x14ac:dyDescent="0.25">
      <c r="B165" s="181" t="s">
        <v>79</v>
      </c>
      <c r="C165" s="182"/>
      <c r="D165" s="183"/>
      <c r="E165" s="184">
        <v>3240</v>
      </c>
      <c r="F165" s="184"/>
      <c r="G165" s="27"/>
      <c r="H165" s="27"/>
    </row>
    <row r="166" spans="2:8" x14ac:dyDescent="0.25">
      <c r="B166" s="177" t="s">
        <v>80</v>
      </c>
      <c r="C166" s="178"/>
      <c r="D166" s="179"/>
      <c r="E166" s="184"/>
      <c r="F166" s="184"/>
      <c r="G166" s="27"/>
      <c r="H166" s="27"/>
    </row>
    <row r="167" spans="2:8" x14ac:dyDescent="0.25">
      <c r="B167" s="16"/>
      <c r="C167" s="16"/>
      <c r="D167" s="16"/>
      <c r="E167" s="17"/>
      <c r="F167" s="17"/>
      <c r="G167" s="17"/>
      <c r="H167" s="17"/>
    </row>
    <row r="168" spans="2:8" ht="36" customHeight="1" x14ac:dyDescent="0.25">
      <c r="B168" s="185" t="s">
        <v>115</v>
      </c>
      <c r="C168" s="186"/>
      <c r="D168" s="186"/>
      <c r="E168" s="186"/>
      <c r="F168" s="21" t="s">
        <v>116</v>
      </c>
    </row>
    <row r="169" spans="2:8" ht="14.45" customHeight="1" x14ac:dyDescent="0.25">
      <c r="B169" s="187" t="s">
        <v>117</v>
      </c>
      <c r="C169" s="188" t="s">
        <v>118</v>
      </c>
      <c r="D169" s="190" t="s">
        <v>119</v>
      </c>
      <c r="E169" s="191"/>
      <c r="F169" s="4"/>
    </row>
    <row r="170" spans="2:8" x14ac:dyDescent="0.25">
      <c r="B170" s="187"/>
      <c r="C170" s="189"/>
      <c r="D170" s="83" t="s">
        <v>120</v>
      </c>
      <c r="E170" s="83" t="s">
        <v>121</v>
      </c>
      <c r="F170" s="4"/>
    </row>
    <row r="171" spans="2:8" x14ac:dyDescent="0.25">
      <c r="B171" s="115"/>
      <c r="C171" s="124"/>
      <c r="D171" s="115"/>
      <c r="E171" s="115"/>
      <c r="F171" s="4"/>
    </row>
    <row r="172" spans="2:8" x14ac:dyDescent="0.25">
      <c r="B172" s="115"/>
      <c r="C172" s="115"/>
      <c r="D172" s="115"/>
      <c r="E172" s="115"/>
      <c r="F172" s="4"/>
    </row>
    <row r="173" spans="2:8" x14ac:dyDescent="0.25">
      <c r="B173" s="120"/>
      <c r="C173" s="120"/>
      <c r="D173" s="121"/>
      <c r="E173" s="121"/>
      <c r="F173" s="121"/>
    </row>
    <row r="174" spans="2:8" x14ac:dyDescent="0.25">
      <c r="B174" s="120" t="s">
        <v>254</v>
      </c>
      <c r="C174" s="120"/>
      <c r="D174" s="121" t="s">
        <v>248</v>
      </c>
      <c r="E174" s="121"/>
      <c r="F174" s="121"/>
    </row>
  </sheetData>
  <mergeCells count="182">
    <mergeCell ref="B62:C62"/>
    <mergeCell ref="B80:C80"/>
    <mergeCell ref="B81:C81"/>
    <mergeCell ref="B82:C82"/>
    <mergeCell ref="B83:C83"/>
    <mergeCell ref="B84:C84"/>
    <mergeCell ref="B85:C85"/>
    <mergeCell ref="B86:C86"/>
    <mergeCell ref="B87:C87"/>
    <mergeCell ref="B68:C68"/>
    <mergeCell ref="B69:C69"/>
    <mergeCell ref="B70:C70"/>
    <mergeCell ref="B71:C71"/>
    <mergeCell ref="B72:C72"/>
    <mergeCell ref="B73:C73"/>
    <mergeCell ref="B63:C63"/>
    <mergeCell ref="B64:C64"/>
    <mergeCell ref="B65:C65"/>
    <mergeCell ref="B66:C66"/>
    <mergeCell ref="B67:C67"/>
    <mergeCell ref="B165:D165"/>
    <mergeCell ref="E165:F165"/>
    <mergeCell ref="B166:D166"/>
    <mergeCell ref="E166:F166"/>
    <mergeCell ref="B168:E168"/>
    <mergeCell ref="B169:B170"/>
    <mergeCell ref="C169:C170"/>
    <mergeCell ref="D169:E169"/>
    <mergeCell ref="B162:D162"/>
    <mergeCell ref="E162:F162"/>
    <mergeCell ref="B163:D163"/>
    <mergeCell ref="E163:F163"/>
    <mergeCell ref="B164:D164"/>
    <mergeCell ref="E164:F164"/>
    <mergeCell ref="B159:C159"/>
    <mergeCell ref="E159:F159"/>
    <mergeCell ref="B160:D160"/>
    <mergeCell ref="E160:F160"/>
    <mergeCell ref="B161:D161"/>
    <mergeCell ref="E161:F161"/>
    <mergeCell ref="B156:C156"/>
    <mergeCell ref="E156:F156"/>
    <mergeCell ref="B157:C157"/>
    <mergeCell ref="E157:F157"/>
    <mergeCell ref="B158:C158"/>
    <mergeCell ref="E158:F158"/>
    <mergeCell ref="B153:C153"/>
    <mergeCell ref="E153:F153"/>
    <mergeCell ref="B154:C154"/>
    <mergeCell ref="E154:F154"/>
    <mergeCell ref="B155:C155"/>
    <mergeCell ref="E155:F155"/>
    <mergeCell ref="B148:D148"/>
    <mergeCell ref="E148:F148"/>
    <mergeCell ref="B150:D150"/>
    <mergeCell ref="E150:F150"/>
    <mergeCell ref="B152:C152"/>
    <mergeCell ref="E152:F152"/>
    <mergeCell ref="B145:D145"/>
    <mergeCell ref="E145:F145"/>
    <mergeCell ref="B146:D146"/>
    <mergeCell ref="E146:F146"/>
    <mergeCell ref="B147:D147"/>
    <mergeCell ref="E147:F147"/>
    <mergeCell ref="G109:G110"/>
    <mergeCell ref="H109:H110"/>
    <mergeCell ref="B142:D142"/>
    <mergeCell ref="E142:F142"/>
    <mergeCell ref="B144:D144"/>
    <mergeCell ref="E144:F144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B102:C102"/>
    <mergeCell ref="B103:C103"/>
    <mergeCell ref="B105:C105"/>
    <mergeCell ref="B106:C106"/>
    <mergeCell ref="B108:F108"/>
    <mergeCell ref="B109:B110"/>
    <mergeCell ref="C109:D109"/>
    <mergeCell ref="E109:E110"/>
    <mergeCell ref="F109:F110"/>
    <mergeCell ref="B96:C96"/>
    <mergeCell ref="B97:C97"/>
    <mergeCell ref="B98:C98"/>
    <mergeCell ref="B99:C99"/>
    <mergeCell ref="B100:C100"/>
    <mergeCell ref="B101:C101"/>
    <mergeCell ref="B94:G94"/>
    <mergeCell ref="B95:C95"/>
    <mergeCell ref="B74:C74"/>
    <mergeCell ref="B75:C75"/>
    <mergeCell ref="B76:C76"/>
    <mergeCell ref="B77:C77"/>
    <mergeCell ref="B78:C78"/>
    <mergeCell ref="B79:C79"/>
    <mergeCell ref="B88:C88"/>
    <mergeCell ref="B89:C89"/>
    <mergeCell ref="B90:C90"/>
    <mergeCell ref="B91:C91"/>
    <mergeCell ref="B92:C92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7:D37"/>
    <mergeCell ref="B38:D38"/>
    <mergeCell ref="B40:H40"/>
    <mergeCell ref="B41:C43"/>
    <mergeCell ref="D41:D43"/>
    <mergeCell ref="E41:E43"/>
    <mergeCell ref="F41:F43"/>
    <mergeCell ref="G41:G43"/>
    <mergeCell ref="H41:H43"/>
    <mergeCell ref="B31:D31"/>
    <mergeCell ref="B32:D32"/>
    <mergeCell ref="B33:D33"/>
    <mergeCell ref="B34:C34"/>
    <mergeCell ref="B35:D35"/>
    <mergeCell ref="B36:D36"/>
    <mergeCell ref="B24:C24"/>
    <mergeCell ref="B25:C25"/>
    <mergeCell ref="B26:C26"/>
    <mergeCell ref="B28:G28"/>
    <mergeCell ref="B29:G29"/>
    <mergeCell ref="B30:D30"/>
    <mergeCell ref="E20:G20"/>
    <mergeCell ref="B22:C22"/>
    <mergeCell ref="B23:C23"/>
    <mergeCell ref="B15:D15"/>
    <mergeCell ref="E15:G15"/>
    <mergeCell ref="B16:D16"/>
    <mergeCell ref="E16:G16"/>
    <mergeCell ref="B17:D17"/>
    <mergeCell ref="E17:G17"/>
    <mergeCell ref="C133:D133"/>
    <mergeCell ref="C134:D134"/>
    <mergeCell ref="C135:D135"/>
    <mergeCell ref="B2:H2"/>
    <mergeCell ref="A3:H3"/>
    <mergeCell ref="A5:G5"/>
    <mergeCell ref="A6:G6"/>
    <mergeCell ref="B8:D8"/>
    <mergeCell ref="E8:G8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19:G19"/>
    <mergeCell ref="B20:C21"/>
    <mergeCell ref="D20:D21"/>
  </mergeCells>
  <pageMargins left="0.11811023622047245" right="0.11811023622047245" top="0.15748031496062992" bottom="0.15748031496062992" header="0.31496062992125984" footer="0.31496062992125984"/>
  <pageSetup paperSize="9" scale="55" orientation="portrait" r:id="rId1"/>
  <headerFooter alignWithMargins="0"/>
  <rowBreaks count="2" manualBreakCount="2">
    <brk id="71" max="7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28</vt:i4>
      </vt:variant>
    </vt:vector>
  </HeadingPairs>
  <TitlesOfParts>
    <vt:vector size="56" baseType="lpstr">
      <vt:lpstr>1,13</vt:lpstr>
      <vt:lpstr>1,14</vt:lpstr>
      <vt:lpstr>1,17</vt:lpstr>
      <vt:lpstr>2,01</vt:lpstr>
      <vt:lpstr>2,02</vt:lpstr>
      <vt:lpstr>2,03</vt:lpstr>
      <vt:lpstr>2,04</vt:lpstr>
      <vt:lpstr>2,05</vt:lpstr>
      <vt:lpstr>2,06</vt:lpstr>
      <vt:lpstr>2,07</vt:lpstr>
      <vt:lpstr>2,08</vt:lpstr>
      <vt:lpstr>2,09</vt:lpstr>
      <vt:lpstr>2,10</vt:lpstr>
      <vt:lpstr>2,11</vt:lpstr>
      <vt:lpstr>2,17</vt:lpstr>
      <vt:lpstr>2,20</vt:lpstr>
      <vt:lpstr>2,21</vt:lpstr>
      <vt:lpstr>3,01</vt:lpstr>
      <vt:lpstr>3,03</vt:lpstr>
      <vt:lpstr>3,05</vt:lpstr>
      <vt:lpstr>3,06</vt:lpstr>
      <vt:lpstr>3,09</vt:lpstr>
      <vt:lpstr>3,11</vt:lpstr>
      <vt:lpstr>3,12</vt:lpstr>
      <vt:lpstr>3,14</vt:lpstr>
      <vt:lpstr>3,15</vt:lpstr>
      <vt:lpstr>3,19</vt:lpstr>
      <vt:lpstr>ООО "Энтузиаст"</vt:lpstr>
      <vt:lpstr>'1,13'!Область_печати</vt:lpstr>
      <vt:lpstr>'1,14'!Область_печати</vt:lpstr>
      <vt:lpstr>'1,17'!Область_печати</vt:lpstr>
      <vt:lpstr>'2,01'!Область_печати</vt:lpstr>
      <vt:lpstr>'2,02'!Область_печати</vt:lpstr>
      <vt:lpstr>'2,03'!Область_печати</vt:lpstr>
      <vt:lpstr>'2,04'!Область_печати</vt:lpstr>
      <vt:lpstr>'2,05'!Область_печати</vt:lpstr>
      <vt:lpstr>'2,06'!Область_печати</vt:lpstr>
      <vt:lpstr>'2,07'!Область_печати</vt:lpstr>
      <vt:lpstr>'2,08'!Область_печати</vt:lpstr>
      <vt:lpstr>'2,09'!Область_печати</vt:lpstr>
      <vt:lpstr>'2,10'!Область_печати</vt:lpstr>
      <vt:lpstr>'2,11'!Область_печати</vt:lpstr>
      <vt:lpstr>'2,17'!Область_печати</vt:lpstr>
      <vt:lpstr>'2,20'!Область_печати</vt:lpstr>
      <vt:lpstr>'2,21'!Область_печати</vt:lpstr>
      <vt:lpstr>'3,01'!Область_печати</vt:lpstr>
      <vt:lpstr>'3,03'!Область_печати</vt:lpstr>
      <vt:lpstr>'3,05'!Область_печати</vt:lpstr>
      <vt:lpstr>'3,06'!Область_печати</vt:lpstr>
      <vt:lpstr>'3,09'!Область_печати</vt:lpstr>
      <vt:lpstr>'3,11'!Область_печати</vt:lpstr>
      <vt:lpstr>'3,12'!Область_печати</vt:lpstr>
      <vt:lpstr>'3,14'!Область_печати</vt:lpstr>
      <vt:lpstr>'3,15'!Область_печати</vt:lpstr>
      <vt:lpstr>'3,19'!Область_печати</vt:lpstr>
      <vt:lpstr>'ООО "Энтузиаст"'!Область_печати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</dc:creator>
  <cp:lastModifiedBy>User</cp:lastModifiedBy>
  <cp:lastPrinted>2015-03-26T05:39:20Z</cp:lastPrinted>
  <dcterms:created xsi:type="dcterms:W3CDTF">2015-01-17T06:11:54Z</dcterms:created>
  <dcterms:modified xsi:type="dcterms:W3CDTF">2015-04-02T08:52:32Z</dcterms:modified>
</cp:coreProperties>
</file>